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DW_UPDATE OF SITE SELECTOR TABLES_2024\UPDATED DATA FILES_MANITOBA &amp; CANADA WIDE\UTILITIES_MANITOBA &amp; CANADA WIDE\"/>
    </mc:Choice>
  </mc:AlternateContent>
  <xr:revisionPtr revIDLastSave="0" documentId="13_ncr:1_{65203EA2-F47E-4A7A-AA46-A61DD99F0B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mary" sheetId="2" r:id="rId1"/>
    <sheet name="WATER &amp; WASTE WATER RATE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8" i="3" l="1"/>
  <c r="J138" i="3"/>
  <c r="I138" i="3"/>
  <c r="H138" i="3"/>
  <c r="G138" i="3"/>
  <c r="F138" i="3"/>
  <c r="E138" i="3"/>
  <c r="K136" i="3"/>
  <c r="J136" i="3"/>
  <c r="I136" i="3"/>
  <c r="H136" i="3"/>
  <c r="G136" i="3"/>
  <c r="F136" i="3"/>
  <c r="E136" i="3"/>
  <c r="K135" i="3"/>
  <c r="J135" i="3"/>
  <c r="I135" i="3"/>
  <c r="H135" i="3"/>
  <c r="G135" i="3"/>
  <c r="F135" i="3"/>
  <c r="E135" i="3"/>
  <c r="K134" i="3"/>
  <c r="J134" i="3"/>
  <c r="I134" i="3"/>
  <c r="H134" i="3"/>
  <c r="G134" i="3"/>
  <c r="F134" i="3"/>
  <c r="E134" i="3"/>
  <c r="K133" i="3"/>
  <c r="J133" i="3"/>
  <c r="I133" i="3"/>
  <c r="H133" i="3"/>
  <c r="G133" i="3"/>
  <c r="F133" i="3"/>
  <c r="E133" i="3"/>
  <c r="H130" i="3"/>
  <c r="K129" i="3"/>
  <c r="H129" i="3"/>
  <c r="G129" i="3"/>
  <c r="K128" i="3"/>
  <c r="K130" i="3" s="1"/>
  <c r="J128" i="3"/>
  <c r="J129" i="3" s="1"/>
  <c r="I128" i="3"/>
  <c r="I129" i="3" s="1"/>
  <c r="I130" i="3" s="1"/>
  <c r="H128" i="3"/>
  <c r="G128" i="3"/>
  <c r="G130" i="3" s="1"/>
  <c r="F128" i="3"/>
  <c r="F129" i="3" s="1"/>
  <c r="E128" i="3"/>
  <c r="E129" i="3" s="1"/>
  <c r="E130" i="3" s="1"/>
  <c r="K127" i="3"/>
  <c r="J127" i="3"/>
  <c r="I127" i="3"/>
  <c r="I131" i="3" s="1"/>
  <c r="I137" i="3" s="1"/>
  <c r="I140" i="3" s="1"/>
  <c r="I141" i="3" s="1"/>
  <c r="I142" i="3" s="1"/>
  <c r="H127" i="3"/>
  <c r="H131" i="3" s="1"/>
  <c r="H137" i="3" s="1"/>
  <c r="H140" i="3" s="1"/>
  <c r="G127" i="3"/>
  <c r="F127" i="3"/>
  <c r="E127" i="3"/>
  <c r="E131" i="3" s="1"/>
  <c r="E137" i="3" s="1"/>
  <c r="E140" i="3" s="1"/>
  <c r="K116" i="3"/>
  <c r="J116" i="3"/>
  <c r="I116" i="3"/>
  <c r="H116" i="3"/>
  <c r="G116" i="3"/>
  <c r="F116" i="3"/>
  <c r="E116" i="3"/>
  <c r="I114" i="3"/>
  <c r="E114" i="3"/>
  <c r="I113" i="3"/>
  <c r="H113" i="3"/>
  <c r="E113" i="3"/>
  <c r="K112" i="3"/>
  <c r="K113" i="3" s="1"/>
  <c r="J112" i="3"/>
  <c r="J113" i="3" s="1"/>
  <c r="J114" i="3" s="1"/>
  <c r="I112" i="3"/>
  <c r="H112" i="3"/>
  <c r="H114" i="3" s="1"/>
  <c r="G112" i="3"/>
  <c r="G113" i="3" s="1"/>
  <c r="F112" i="3"/>
  <c r="F113" i="3" s="1"/>
  <c r="F114" i="3" s="1"/>
  <c r="E112" i="3"/>
  <c r="K111" i="3"/>
  <c r="J111" i="3"/>
  <c r="I111" i="3"/>
  <c r="I115" i="3" s="1"/>
  <c r="I118" i="3" s="1"/>
  <c r="H111" i="3"/>
  <c r="G111" i="3"/>
  <c r="F111" i="3"/>
  <c r="E111" i="3"/>
  <c r="E115" i="3" s="1"/>
  <c r="E118" i="3" s="1"/>
  <c r="K100" i="3"/>
  <c r="J100" i="3"/>
  <c r="I100" i="3"/>
  <c r="H100" i="3"/>
  <c r="G100" i="3"/>
  <c r="F100" i="3"/>
  <c r="E100" i="3"/>
  <c r="K99" i="3"/>
  <c r="K102" i="3" s="1"/>
  <c r="K103" i="3" s="1"/>
  <c r="K104" i="3" s="1"/>
  <c r="H99" i="3"/>
  <c r="H102" i="3" s="1"/>
  <c r="G99" i="3"/>
  <c r="G102" i="3" s="1"/>
  <c r="G103" i="3" s="1"/>
  <c r="G104" i="3" s="1"/>
  <c r="K98" i="3"/>
  <c r="J98" i="3"/>
  <c r="I98" i="3"/>
  <c r="H98" i="3"/>
  <c r="G98" i="3"/>
  <c r="F98" i="3"/>
  <c r="E98" i="3"/>
  <c r="K97" i="3"/>
  <c r="J97" i="3"/>
  <c r="J99" i="3" s="1"/>
  <c r="J102" i="3" s="1"/>
  <c r="I97" i="3"/>
  <c r="I99" i="3" s="1"/>
  <c r="I102" i="3" s="1"/>
  <c r="H97" i="3"/>
  <c r="G97" i="3"/>
  <c r="F97" i="3"/>
  <c r="F99" i="3" s="1"/>
  <c r="F102" i="3" s="1"/>
  <c r="E97" i="3"/>
  <c r="E99" i="3" s="1"/>
  <c r="E102" i="3" s="1"/>
  <c r="K86" i="3"/>
  <c r="J86" i="3"/>
  <c r="I86" i="3"/>
  <c r="H86" i="3"/>
  <c r="G86" i="3"/>
  <c r="F86" i="3"/>
  <c r="E86" i="3"/>
  <c r="K85" i="3"/>
  <c r="K88" i="3" s="1"/>
  <c r="J85" i="3"/>
  <c r="J88" i="3" s="1"/>
  <c r="G85" i="3"/>
  <c r="G88" i="3" s="1"/>
  <c r="G89" i="3" s="1"/>
  <c r="G90" i="3" s="1"/>
  <c r="F85" i="3"/>
  <c r="F88" i="3" s="1"/>
  <c r="K84" i="3"/>
  <c r="J84" i="3"/>
  <c r="I84" i="3"/>
  <c r="H84" i="3"/>
  <c r="G84" i="3"/>
  <c r="F84" i="3"/>
  <c r="E84" i="3"/>
  <c r="K83" i="3"/>
  <c r="J83" i="3"/>
  <c r="I83" i="3"/>
  <c r="I85" i="3" s="1"/>
  <c r="I88" i="3" s="1"/>
  <c r="H83" i="3"/>
  <c r="H85" i="3" s="1"/>
  <c r="H88" i="3" s="1"/>
  <c r="H89" i="3" s="1"/>
  <c r="H90" i="3" s="1"/>
  <c r="G83" i="3"/>
  <c r="F83" i="3"/>
  <c r="E83" i="3"/>
  <c r="E85" i="3" s="1"/>
  <c r="E88" i="3" s="1"/>
  <c r="K72" i="3"/>
  <c r="J72" i="3"/>
  <c r="I72" i="3"/>
  <c r="H72" i="3"/>
  <c r="G72" i="3"/>
  <c r="F72" i="3"/>
  <c r="E72" i="3"/>
  <c r="J71" i="3"/>
  <c r="J74" i="3" s="1"/>
  <c r="I71" i="3"/>
  <c r="I74" i="3" s="1"/>
  <c r="I75" i="3" s="1"/>
  <c r="I76" i="3" s="1"/>
  <c r="F71" i="3"/>
  <c r="F74" i="3" s="1"/>
  <c r="E71" i="3"/>
  <c r="E74" i="3" s="1"/>
  <c r="K70" i="3"/>
  <c r="J70" i="3"/>
  <c r="I70" i="3"/>
  <c r="H70" i="3"/>
  <c r="G70" i="3"/>
  <c r="F70" i="3"/>
  <c r="E70" i="3"/>
  <c r="K69" i="3"/>
  <c r="K71" i="3" s="1"/>
  <c r="K74" i="3" s="1"/>
  <c r="J69" i="3"/>
  <c r="I69" i="3"/>
  <c r="H69" i="3"/>
  <c r="H71" i="3" s="1"/>
  <c r="H74" i="3" s="1"/>
  <c r="G69" i="3"/>
  <c r="G71" i="3" s="1"/>
  <c r="G74" i="3" s="1"/>
  <c r="G75" i="3" s="1"/>
  <c r="G76" i="3" s="1"/>
  <c r="F69" i="3"/>
  <c r="E69" i="3"/>
  <c r="K10" i="3"/>
  <c r="J10" i="3"/>
  <c r="I10" i="3"/>
  <c r="H10" i="3"/>
  <c r="G10" i="3"/>
  <c r="F10" i="3"/>
  <c r="E10" i="3"/>
  <c r="J75" i="3" l="1"/>
  <c r="J76" i="3" s="1"/>
  <c r="I89" i="3"/>
  <c r="I90" i="3" s="1"/>
  <c r="J89" i="3"/>
  <c r="J90" i="3" s="1"/>
  <c r="H103" i="3"/>
  <c r="H104" i="3" s="1"/>
  <c r="H115" i="3"/>
  <c r="H118" i="3" s="1"/>
  <c r="F131" i="3"/>
  <c r="F137" i="3" s="1"/>
  <c r="F140" i="3" s="1"/>
  <c r="F141" i="3" s="1"/>
  <c r="F142" i="3" s="1"/>
  <c r="J131" i="3"/>
  <c r="J137" i="3" s="1"/>
  <c r="J140" i="3" s="1"/>
  <c r="J141" i="3" s="1"/>
  <c r="J142" i="3" s="1"/>
  <c r="K75" i="3"/>
  <c r="K76" i="3" s="1"/>
  <c r="K89" i="3"/>
  <c r="K90" i="3" s="1"/>
  <c r="I103" i="3"/>
  <c r="I104" i="3" s="1"/>
  <c r="I119" i="3"/>
  <c r="I120" i="3" s="1"/>
  <c r="G131" i="3"/>
  <c r="G137" i="3" s="1"/>
  <c r="G140" i="3" s="1"/>
  <c r="K131" i="3"/>
  <c r="K137" i="3" s="1"/>
  <c r="K140" i="3" s="1"/>
  <c r="H75" i="3"/>
  <c r="H76" i="3" s="1"/>
  <c r="F75" i="3"/>
  <c r="F76" i="3" s="1"/>
  <c r="F89" i="3"/>
  <c r="F90" i="3" s="1"/>
  <c r="F103" i="3"/>
  <c r="F104" i="3" s="1"/>
  <c r="J103" i="3"/>
  <c r="J104" i="3" s="1"/>
  <c r="F115" i="3"/>
  <c r="F118" i="3" s="1"/>
  <c r="F119" i="3" s="1"/>
  <c r="F120" i="3" s="1"/>
  <c r="J115" i="3"/>
  <c r="J118" i="3" s="1"/>
  <c r="J119" i="3" s="1"/>
  <c r="J120" i="3" s="1"/>
  <c r="H141" i="3"/>
  <c r="H142" i="3" s="1"/>
  <c r="G114" i="3"/>
  <c r="G115" i="3" s="1"/>
  <c r="G118" i="3" s="1"/>
  <c r="G119" i="3" s="1"/>
  <c r="G120" i="3" s="1"/>
  <c r="K114" i="3"/>
  <c r="K115" i="3" s="1"/>
  <c r="K118" i="3" s="1"/>
  <c r="K119" i="3" s="1"/>
  <c r="K120" i="3" s="1"/>
  <c r="F130" i="3"/>
  <c r="J130" i="3"/>
  <c r="K141" i="3" l="1"/>
  <c r="K142" i="3" s="1"/>
  <c r="H119" i="3"/>
  <c r="H120" i="3" s="1"/>
  <c r="G141" i="3"/>
  <c r="G142" i="3" s="1"/>
</calcChain>
</file>

<file path=xl/sharedStrings.xml><?xml version="1.0" encoding="utf-8"?>
<sst xmlns="http://schemas.openxmlformats.org/spreadsheetml/2006/main" count="250" uniqueCount="125">
  <si>
    <t>Residential and Commercial</t>
  </si>
  <si>
    <t>Water</t>
  </si>
  <si>
    <t>Winnipeg [Census metropolitan area], Manitoba</t>
  </si>
  <si>
    <t>Infrastructure</t>
  </si>
  <si>
    <t>Customer Type</t>
  </si>
  <si>
    <t xml:space="preserve">Service Type </t>
  </si>
  <si>
    <t>Metre Sizes</t>
  </si>
  <si>
    <t>Fixed Daily Basic Rates (in Canadian $) by Metre Sizes</t>
  </si>
  <si>
    <t>5/8" (15mm)</t>
  </si>
  <si>
    <t>3/4" (18mm)</t>
  </si>
  <si>
    <t>1" (25mm)</t>
  </si>
  <si>
    <t>1 1/2" (40mm)</t>
  </si>
  <si>
    <t>2" (50 mm)</t>
  </si>
  <si>
    <t>3" (75mm)</t>
  </si>
  <si>
    <t>4" (100mm)</t>
  </si>
  <si>
    <t>6" (150mm)</t>
  </si>
  <si>
    <t>8" (200mm)</t>
  </si>
  <si>
    <t>10" (250mm)</t>
  </si>
  <si>
    <t>Privately-Owned Metres</t>
  </si>
  <si>
    <t>City-Owned Metres</t>
  </si>
  <si>
    <t>*Note: Service charge for customers with City-owned metres is inclusive of the cost of their water metre</t>
  </si>
  <si>
    <t>RESIDENTIAL CUSTOMERS</t>
  </si>
  <si>
    <t>Summary Information:</t>
  </si>
  <si>
    <t>Please note that heavy industrial users could be subject to additional costs with respect to water costs depending on levels of wastewater, effluent discharge, and other large volume measurements.</t>
  </si>
  <si>
    <t>Sewer (WasteWater)</t>
  </si>
  <si>
    <t>240 cu. m./yr</t>
  </si>
  <si>
    <t>Meter Size</t>
  </si>
  <si>
    <t>5/8"</t>
  </si>
  <si>
    <t>($ Cubic Metres per Annum)</t>
  </si>
  <si>
    <t>Usage in Cubic Metres per Annum (cu. m./yr)</t>
  </si>
  <si>
    <t>Aggregate Daily Basic Sevice Charge for each Year</t>
  </si>
  <si>
    <t>Land Drainage</t>
  </si>
  <si>
    <t>Total Annual Bill</t>
  </si>
  <si>
    <t>Value</t>
  </si>
  <si>
    <t>Years</t>
  </si>
  <si>
    <t>COMMERCIAL CUSTOMERS</t>
  </si>
  <si>
    <t>Overall $ Change</t>
  </si>
  <si>
    <t>Overall % Change</t>
  </si>
  <si>
    <t>2"</t>
  </si>
  <si>
    <t>1600 cu. m./yr</t>
  </si>
  <si>
    <t>LARGE RESTAURANT CUSTOMERS</t>
  </si>
  <si>
    <t>17,700 cu. m./yr</t>
  </si>
  <si>
    <t>3"</t>
  </si>
  <si>
    <t>FOOD PROCESSING CUSTOMERS</t>
  </si>
  <si>
    <t>8"</t>
  </si>
  <si>
    <t>254,500 cu. m./yr</t>
  </si>
  <si>
    <t>10"</t>
  </si>
  <si>
    <t>500,000 cu. m./yr</t>
  </si>
  <si>
    <t>400,000 cu. m./yr</t>
  </si>
  <si>
    <t>Large Volume Sewer Discount (*LVSD)</t>
  </si>
  <si>
    <t>Adjusted Annual Sewer Rate</t>
  </si>
  <si>
    <t>INDUSTRIAL-OVERSTRENGTH CUSTOMERS</t>
  </si>
  <si>
    <t>TSS (Kg)</t>
  </si>
  <si>
    <t>BOD (Kg)</t>
  </si>
  <si>
    <t>TKN (Kg)</t>
  </si>
  <si>
    <t>TP (Kg)</t>
  </si>
  <si>
    <t>Source: Report – Standing Policy Committee on Water and Sewer (WasteWater), Riverbank Management and the Environment – February 14, 2019</t>
  </si>
  <si>
    <t xml:space="preserve">2018 Daily Basic Rates (in Canadian $) by Metre Sizes </t>
  </si>
  <si>
    <t>2018 Cost per Cubic Metre ($/cu. m.)</t>
  </si>
  <si>
    <t>2019 Daily Basic Rates (in Canadian $) by Metre Sizes [Effective April 1, 2019]</t>
  </si>
  <si>
    <t xml:space="preserve">SERVICE CHARGES [WATER AND SEWER (WASTEWATER), FIXED SERVICE RATE </t>
  </si>
  <si>
    <t xml:space="preserve">Years </t>
  </si>
  <si>
    <t>WATER, SEWER (WASTEWATER) AND ELECTRICITY UTILITIES' RATE AND SERVICE CHARGES STATISTICS FOR WINNIPEG CMA</t>
  </si>
  <si>
    <t xml:space="preserve">VOLUMETRIC CHARGES [WATER AND SEWER (WASTEWATER)], UTILITIES' RATE </t>
  </si>
  <si>
    <t>Rates (in Canadian $) per Mass of Contaminants [Overstrength Compounds (in Kilogram (Kg)]</t>
  </si>
  <si>
    <t>2018 Rates (in Canadian $) per Mass of Contaminants [Overstrength Compounds (in Kilogram (Kg)]</t>
  </si>
  <si>
    <t>2019 Rates (in Canadian $) per Mass of Contaminants [Overstrength Compounds (in Kilogram (Kg)]</t>
  </si>
  <si>
    <t>ADDITIONAL WASTEWATER (SEWER) UTILITY RATE ON THE BASIS OF CONTAMINANTS (OVERSTRENGTH COMPOUNDS) RELEASED BY INDUSTRIAL-OVERSTRENGTH CUSTOMERS</t>
  </si>
  <si>
    <t>Total Suspended Solids (TSS)</t>
  </si>
  <si>
    <t>Biochemical Oxygen Demand (BOD)</t>
  </si>
  <si>
    <t>Total Nitrogen (TN)</t>
  </si>
  <si>
    <t>Total Phosphorus (TP)</t>
  </si>
  <si>
    <t>2589 Kg</t>
  </si>
  <si>
    <t>2031 Kg</t>
  </si>
  <si>
    <t>4164 Kg</t>
  </si>
  <si>
    <t>Contaminants (Overstrength Compounds) by Types</t>
  </si>
  <si>
    <t>Fixed Annual Estimated Mass of Contaminants [Overstrength Compounds (in Kilogram (Kg)] Released by Inustrial-Overstrength Customers</t>
  </si>
  <si>
    <t>Abbreviations</t>
  </si>
  <si>
    <t>Components of Volumetric Charges [Water and Sewer (WasteWater)], Utilities</t>
  </si>
  <si>
    <t>Total Volumetric Charges [Water and Sewer (WasteWater)], Utilities' Rate</t>
  </si>
  <si>
    <t>Subtotal Volumetric Charges [Water and Sewer (WasteWater)], Utilities' Rate before Overstrength</t>
  </si>
  <si>
    <t>Total Volumetric Charges [Water and Sewer (WasteWater)], Utilities' Rate after Overstrength</t>
  </si>
  <si>
    <t>($ per Cubic Metre), Estimates for each Year</t>
  </si>
  <si>
    <t>2019 Cost per Cubic Metre ($/cu. m.)</t>
  </si>
  <si>
    <t>2020 Cost per Cubic Metre ($/cu. m.)</t>
  </si>
  <si>
    <t>2021 Cost per Cubic Metre ($/cu. m.)</t>
  </si>
  <si>
    <t>2022 Cost per Cubic Metre ($/cu. m.)</t>
  </si>
  <si>
    <t>2023 Cost per Cubic Metre ($/cu. m.)</t>
  </si>
  <si>
    <t>2020 Rates (in Canadian $) per Mass of Contaminants [Overstrength Compounds (in Kilogram (Kg)]</t>
  </si>
  <si>
    <t>2021 Rates (in Canadian $) per Mass of Contaminants [Overstrength Compounds (in Kilogram (Kg)]</t>
  </si>
  <si>
    <t>2022 Rates (in Canadian $) per Mass of Contaminants [Overstrength Compounds (in Kilogram (Kg)]</t>
  </si>
  <si>
    <t>2023 Rates (in Canadian $) per Mass of Contaminants [Overstrength Compounds (in Kilogram (Kg)]</t>
  </si>
  <si>
    <t xml:space="preserve">2019 Daily Basic Rates (in Canadian $) by Metre Sizes </t>
  </si>
  <si>
    <t xml:space="preserve">2020 Daily Basic Rates (in Canadian $) by Metre Sizes </t>
  </si>
  <si>
    <t xml:space="preserve">2021 Daily Basic Rates (in Canadian $) by Metre Sizes </t>
  </si>
  <si>
    <t xml:space="preserve">2022 Daily Basic Rates (in Canadian $) by Metre Sizes </t>
  </si>
  <si>
    <t xml:space="preserve">2023 Daily Basic Rates (in Canadian $) by Metre Sizes </t>
  </si>
  <si>
    <t>Both Water and Sewer (WasteWater) Service</t>
  </si>
  <si>
    <t>2020 Daily Basic Rates (in Canadian $) by Metre Sizes [Effective March 1, 2020]</t>
  </si>
  <si>
    <t>Geography</t>
  </si>
  <si>
    <t>For further information, please contact:</t>
  </si>
  <si>
    <t>Economic Development Winnipeg Inc.</t>
  </si>
  <si>
    <t>Suite 810 – One Lombard Place</t>
  </si>
  <si>
    <t>Winnipeg, MB R3B 0X3</t>
  </si>
  <si>
    <t>Phone: 1.204.954.1997</t>
  </si>
  <si>
    <t>Website: www.economicdevelopmentwinnipeg.com</t>
  </si>
  <si>
    <t>Email: wpginfo@edwinnipeg.com</t>
  </si>
  <si>
    <t>CUSTOMER WATER AND SEWER (WASTEWATER) BILL INCLUDING OVERCHARGED USERS, ANNUAL ESTIMATES, STATISTICS FOR WINNIPEG CMA</t>
  </si>
  <si>
    <t>CUSTOMER BILL INCLUDING OVERCHARGED USERS, ANNUAL ESTIMATES, STATISTICS FOR WINNIPEG CMA</t>
  </si>
  <si>
    <t>This data series is to assist users in determining actual utility costs based on estimated water and wastewater use.</t>
  </si>
  <si>
    <t>2024 Cost per Cubic Metre ($/cu. m.)</t>
  </si>
  <si>
    <t>2024 Rates (in Canadian $) per Mass of Contaminants [Overstrength Compounds (in Kilogram (Kg)]</t>
  </si>
  <si>
    <t xml:space="preserve">2024 Daily Basic Rates (in Canadian $) by Metre Sizes </t>
  </si>
  <si>
    <t>2021 Daily Basic Rates (in Canadian $) by Metre Sizes [Effective April 1, 2021]</t>
  </si>
  <si>
    <t>2022 Daily Basic Rates (in Canadian $) by Metre Sizes [Effective April 1, 2022]</t>
  </si>
  <si>
    <t>2023 Daily Basic Rates (in Canadian $) by Metre Sizes [Effective April 1, 2023]</t>
  </si>
  <si>
    <t>2024 Daily Basic Rates (in Canadian $) by Metre Sizes [Effective April 1, 2024]</t>
  </si>
  <si>
    <t>*Large Volume Sewer Discount (LVSD) applies according to conditions in amended Sewer By-Laws</t>
  </si>
  <si>
    <t xml:space="preserve">From January 1, 2020 to December 31, 2020: 30% </t>
  </si>
  <si>
    <t xml:space="preserve">From January 1, 2021 to December 31, 2021: 20% </t>
  </si>
  <si>
    <t xml:space="preserve">From January 1, 2022 to December 31, 2022: 10% </t>
  </si>
  <si>
    <t>From January 1, 2023: 0%</t>
  </si>
  <si>
    <t>Rates, fees &amp; service charges - MyUtility - Water and Waste Department - City of Winnipeg / MesServices – Service des eaux et des déchets – Ville de Winnipeg</t>
  </si>
  <si>
    <t>Source/Link</t>
  </si>
  <si>
    <t>Last Update: August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</si>
</sst>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;[Red]\-&quot;$&quot;#,##0"/>
    <numFmt numFmtId="8" formatCode="&quot;$&quot;#,##0.00;[Red]\-&quot;$&quot;#,##0.00"/>
    <numFmt numFmtId="164" formatCode="&quot;$&quot;#,##0.000;[Red]\-&quot;$&quot;#,##0.000"/>
    <numFmt numFmtId="165" formatCode="&quot;$&quot;#,##0.000"/>
    <numFmt numFmtId="166" formatCode="\$0"/>
    <numFmt numFmtId="167" formatCode="\$#,##0"/>
    <numFmt numFmtId="168" formatCode="0.0%"/>
    <numFmt numFmtId="169" formatCode="&quot;$&quot;#,##0"/>
    <numFmt numFmtId="170" formatCode="&quot;$&quot;#,##0.00"/>
  </numFmts>
  <fonts count="23" x14ac:knownFonts="1"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353427"/>
      <name val="Calibri"/>
      <family val="2"/>
      <scheme val="minor"/>
    </font>
    <font>
      <sz val="11"/>
      <color rgb="FF353427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2578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 applyFill="0"/>
    <xf numFmtId="0" fontId="18" fillId="0" borderId="0" applyNumberFormat="0" applyFill="0" applyBorder="0" applyAlignment="0" applyProtection="0"/>
  </cellStyleXfs>
  <cellXfs count="90">
    <xf numFmtId="0" fontId="0" fillId="0" borderId="0" xfId="0"/>
    <xf numFmtId="0" fontId="1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0" fillId="0" borderId="1" xfId="0" applyBorder="1"/>
    <xf numFmtId="165" fontId="0" fillId="0" borderId="0" xfId="0" applyNumberFormat="1"/>
    <xf numFmtId="164" fontId="0" fillId="0" borderId="0" xfId="0" applyNumberFormat="1"/>
    <xf numFmtId="0" fontId="5" fillId="0" borderId="0" xfId="0" applyFont="1"/>
    <xf numFmtId="0" fontId="2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0" fillId="0" borderId="0" xfId="0" applyAlignment="1">
      <alignment horizontal="left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left"/>
    </xf>
    <xf numFmtId="0" fontId="7" fillId="0" borderId="0" xfId="0" applyFont="1"/>
    <xf numFmtId="0" fontId="8" fillId="0" borderId="0" xfId="0" applyFont="1"/>
    <xf numFmtId="0" fontId="11" fillId="0" borderId="0" xfId="0" applyFont="1"/>
    <xf numFmtId="164" fontId="4" fillId="0" borderId="0" xfId="0" applyNumberFormat="1" applyFont="1"/>
    <xf numFmtId="0" fontId="7" fillId="0" borderId="1" xfId="0" applyFont="1" applyBorder="1" applyAlignment="1">
      <alignment horizontal="left"/>
    </xf>
    <xf numFmtId="0" fontId="0" fillId="0" borderId="4" xfId="0" applyBorder="1"/>
    <xf numFmtId="3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0" fontId="8" fillId="0" borderId="1" xfId="0" applyFont="1" applyBorder="1"/>
    <xf numFmtId="8" fontId="0" fillId="0" borderId="1" xfId="0" applyNumberFormat="1" applyBorder="1"/>
    <xf numFmtId="2" fontId="0" fillId="0" borderId="0" xfId="0" applyNumberFormat="1"/>
    <xf numFmtId="8" fontId="0" fillId="0" borderId="0" xfId="0" applyNumberFormat="1"/>
    <xf numFmtId="2" fontId="6" fillId="0" borderId="0" xfId="0" applyNumberFormat="1" applyFont="1" applyAlignment="1">
      <alignment horizontal="right" vertical="top" indent="1" shrinkToFit="1"/>
    </xf>
    <xf numFmtId="0" fontId="17" fillId="0" borderId="0" xfId="1" applyFont="1"/>
    <xf numFmtId="0" fontId="19" fillId="0" borderId="0" xfId="0" applyFont="1" applyAlignment="1">
      <alignment horizontal="left"/>
    </xf>
    <xf numFmtId="0" fontId="4" fillId="0" borderId="0" xfId="0" applyFont="1" applyAlignment="1">
      <alignment vertical="top"/>
    </xf>
    <xf numFmtId="0" fontId="4" fillId="0" borderId="0" xfId="0" applyFont="1"/>
    <xf numFmtId="0" fontId="20" fillId="0" borderId="0" xfId="0" applyFont="1" applyAlignment="1">
      <alignment horizontal="left"/>
    </xf>
    <xf numFmtId="0" fontId="18" fillId="0" borderId="0" xfId="2" applyAlignment="1">
      <alignment horizontal="left"/>
    </xf>
    <xf numFmtId="0" fontId="18" fillId="0" borderId="0" xfId="2"/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/>
    </xf>
    <xf numFmtId="6" fontId="0" fillId="0" borderId="0" xfId="0" applyNumberFormat="1"/>
    <xf numFmtId="3" fontId="0" fillId="0" borderId="0" xfId="0" applyNumberFormat="1"/>
    <xf numFmtId="170" fontId="0" fillId="0" borderId="0" xfId="0" applyNumberFormat="1"/>
    <xf numFmtId="6" fontId="5" fillId="0" borderId="0" xfId="0" applyNumberFormat="1" applyFont="1"/>
    <xf numFmtId="3" fontId="5" fillId="0" borderId="0" xfId="0" applyNumberFormat="1" applyFont="1"/>
    <xf numFmtId="6" fontId="11" fillId="0" borderId="0" xfId="0" applyNumberFormat="1" applyFont="1"/>
    <xf numFmtId="3" fontId="11" fillId="0" borderId="0" xfId="0" applyNumberFormat="1" applyFont="1"/>
    <xf numFmtId="8" fontId="4" fillId="0" borderId="1" xfId="0" applyNumberFormat="1" applyFont="1" applyBorder="1"/>
    <xf numFmtId="8" fontId="8" fillId="0" borderId="1" xfId="0" applyNumberFormat="1" applyFont="1" applyBorder="1"/>
    <xf numFmtId="170" fontId="0" fillId="0" borderId="1" xfId="0" applyNumberFormat="1" applyBorder="1"/>
    <xf numFmtId="164" fontId="0" fillId="0" borderId="1" xfId="0" applyNumberFormat="1" applyBorder="1"/>
    <xf numFmtId="166" fontId="6" fillId="0" borderId="1" xfId="0" applyNumberFormat="1" applyFont="1" applyBorder="1" applyAlignment="1">
      <alignment horizontal="right" vertical="center" indent="1" shrinkToFit="1"/>
    </xf>
    <xf numFmtId="167" fontId="9" fillId="0" borderId="1" xfId="0" applyNumberFormat="1" applyFont="1" applyBorder="1" applyAlignment="1">
      <alignment horizontal="right" vertical="top" indent="1" shrinkToFit="1"/>
    </xf>
    <xf numFmtId="166" fontId="6" fillId="0" borderId="1" xfId="0" applyNumberFormat="1" applyFont="1" applyBorder="1" applyAlignment="1">
      <alignment horizontal="right" vertical="top" indent="1" shrinkToFit="1"/>
    </xf>
    <xf numFmtId="167" fontId="10" fillId="0" borderId="1" xfId="0" applyNumberFormat="1" applyFont="1" applyBorder="1" applyAlignment="1">
      <alignment horizontal="right" vertical="top" indent="1" shrinkToFit="1"/>
    </xf>
    <xf numFmtId="0" fontId="0" fillId="0" borderId="0" xfId="0" applyAlignment="1">
      <alignment vertical="top" wrapText="1"/>
    </xf>
    <xf numFmtId="167" fontId="0" fillId="0" borderId="0" xfId="0" applyNumberFormat="1" applyAlignment="1">
      <alignment vertical="top" wrapText="1"/>
    </xf>
    <xf numFmtId="168" fontId="6" fillId="0" borderId="1" xfId="0" applyNumberFormat="1" applyFont="1" applyBorder="1" applyAlignment="1">
      <alignment horizontal="right" vertical="top" indent="1" shrinkToFit="1"/>
    </xf>
    <xf numFmtId="167" fontId="6" fillId="0" borderId="1" xfId="0" applyNumberFormat="1" applyFont="1" applyBorder="1" applyAlignment="1">
      <alignment horizontal="right" vertical="center" indent="1" shrinkToFit="1"/>
    </xf>
    <xf numFmtId="167" fontId="6" fillId="0" borderId="1" xfId="0" applyNumberFormat="1" applyFont="1" applyBorder="1" applyAlignment="1">
      <alignment horizontal="right" vertical="top" shrinkToFit="1"/>
    </xf>
    <xf numFmtId="167" fontId="9" fillId="0" borderId="1" xfId="0" applyNumberFormat="1" applyFont="1" applyBorder="1" applyAlignment="1">
      <alignment horizontal="right" vertical="top" shrinkToFit="1"/>
    </xf>
    <xf numFmtId="166" fontId="6" fillId="0" borderId="1" xfId="0" applyNumberFormat="1" applyFont="1" applyBorder="1" applyAlignment="1">
      <alignment horizontal="right" vertical="top" shrinkToFit="1"/>
    </xf>
    <xf numFmtId="167" fontId="10" fillId="0" borderId="1" xfId="0" applyNumberFormat="1" applyFont="1" applyBorder="1" applyAlignment="1">
      <alignment horizontal="right" vertical="top" shrinkToFit="1"/>
    </xf>
    <xf numFmtId="167" fontId="6" fillId="0" borderId="1" xfId="0" applyNumberFormat="1" applyFont="1" applyBorder="1" applyAlignment="1">
      <alignment horizontal="right" vertical="center" shrinkToFit="1"/>
    </xf>
    <xf numFmtId="168" fontId="6" fillId="0" borderId="1" xfId="0" applyNumberFormat="1" applyFont="1" applyBorder="1" applyAlignment="1">
      <alignment horizontal="right" vertical="top" shrinkToFit="1"/>
    </xf>
    <xf numFmtId="167" fontId="13" fillId="0" borderId="0" xfId="0" applyNumberFormat="1" applyFont="1"/>
    <xf numFmtId="167" fontId="7" fillId="0" borderId="0" xfId="0" applyNumberFormat="1" applyFont="1"/>
    <xf numFmtId="167" fontId="4" fillId="0" borderId="1" xfId="0" applyNumberFormat="1" applyFont="1" applyBorder="1" applyAlignment="1">
      <alignment horizontal="right" vertical="top" shrinkToFit="1"/>
    </xf>
    <xf numFmtId="169" fontId="14" fillId="0" borderId="1" xfId="0" applyNumberFormat="1" applyFont="1" applyBorder="1"/>
    <xf numFmtId="166" fontId="4" fillId="0" borderId="1" xfId="0" applyNumberFormat="1" applyFont="1" applyBorder="1" applyAlignment="1">
      <alignment horizontal="right" vertical="top" shrinkToFit="1"/>
    </xf>
    <xf numFmtId="167" fontId="15" fillId="0" borderId="1" xfId="0" applyNumberFormat="1" applyFont="1" applyBorder="1" applyAlignment="1">
      <alignment horizontal="right" vertical="top" shrinkToFit="1"/>
    </xf>
    <xf numFmtId="0" fontId="8" fillId="0" borderId="1" xfId="0" applyFont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top"/>
    </xf>
    <xf numFmtId="0" fontId="0" fillId="0" borderId="1" xfId="0" applyBorder="1" applyAlignment="1">
      <alignment horizontal="left" vertical="center"/>
    </xf>
    <xf numFmtId="0" fontId="1" fillId="2" borderId="0" xfId="0" applyFont="1" applyFill="1" applyAlignment="1">
      <alignment horizontal="center" vertical="top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3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/>
    <xf numFmtId="0" fontId="22" fillId="0" borderId="0" xfId="2" applyFont="1"/>
  </cellXfs>
  <cellStyles count="3">
    <cellStyle name="Hyperlink" xfId="2" builtinId="8"/>
    <cellStyle name="Normal" xfId="0" builtinId="0"/>
    <cellStyle name="Normal 2" xfId="1" xr:uid="{991D0765-94DD-4021-B11A-EF89427C1E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0</xdr:row>
      <xdr:rowOff>9525</xdr:rowOff>
    </xdr:from>
    <xdr:to>
      <xdr:col>3</xdr:col>
      <xdr:colOff>590549</xdr:colOff>
      <xdr:row>5</xdr:row>
      <xdr:rowOff>0</xdr:rowOff>
    </xdr:to>
    <xdr:pic>
      <xdr:nvPicPr>
        <xdr:cNvPr id="2" name="Picture 1" descr="Image result for economic development winni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" y="9525"/>
          <a:ext cx="239077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150</xdr:row>
      <xdr:rowOff>1</xdr:rowOff>
    </xdr:from>
    <xdr:to>
      <xdr:col>1</xdr:col>
      <xdr:colOff>1210662</xdr:colOff>
      <xdr:row>155</xdr:row>
      <xdr:rowOff>9525</xdr:rowOff>
    </xdr:to>
    <xdr:pic>
      <xdr:nvPicPr>
        <xdr:cNvPr id="3" name="Picture 2" descr="Image result for economic development winnipeg">
          <a:extLst>
            <a:ext uri="{FF2B5EF4-FFF2-40B4-BE49-F238E27FC236}">
              <a16:creationId xmlns:a16="http://schemas.microsoft.com/office/drawing/2014/main" id="{94FDCB62-040A-483B-BE98-154473BEF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365826"/>
          <a:ext cx="3591912" cy="962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myutility.winnipeg.ca/UtilityPortal/UtilityBilling/rate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myutility.winnipeg.ca/UtilityPortal/UtilityBilling/rates" TargetMode="External"/><Relationship Id="rId2" Type="http://schemas.openxmlformats.org/officeDocument/2006/relationships/hyperlink" Target="http://www.economicdevelopmentwinnipeg.com/" TargetMode="External"/><Relationship Id="rId1" Type="http://schemas.openxmlformats.org/officeDocument/2006/relationships/hyperlink" Target="mailto:wpginfo@edwinnipeg.com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15"/>
  <sheetViews>
    <sheetView tabSelected="1" workbookViewId="0">
      <selection activeCell="A9" sqref="A9"/>
    </sheetView>
  </sheetViews>
  <sheetFormatPr defaultRowHeight="15" x14ac:dyDescent="0.25"/>
  <sheetData>
    <row r="6" spans="1:16" x14ac:dyDescent="0.25">
      <c r="A6" s="31" t="s">
        <v>124</v>
      </c>
    </row>
    <row r="8" spans="1:16" ht="18.75" x14ac:dyDescent="0.3">
      <c r="A8" s="10" t="s">
        <v>22</v>
      </c>
    </row>
    <row r="9" spans="1:16" x14ac:dyDescent="0.25">
      <c r="A9" t="s">
        <v>109</v>
      </c>
    </row>
    <row r="10" spans="1:16" x14ac:dyDescent="0.25">
      <c r="A10" t="s">
        <v>23</v>
      </c>
    </row>
    <row r="13" spans="1:16" s="10" customFormat="1" ht="18.75" x14ac:dyDescent="0.3">
      <c r="A13" s="10" t="s">
        <v>123</v>
      </c>
      <c r="G13" s="45"/>
      <c r="H13" s="45"/>
      <c r="I13" s="45"/>
      <c r="J13" s="45"/>
      <c r="K13" s="45"/>
      <c r="L13" s="45"/>
      <c r="M13" s="45"/>
      <c r="N13" s="45"/>
      <c r="O13" s="45"/>
      <c r="P13" s="46"/>
    </row>
    <row r="14" spans="1:16" s="20" customFormat="1" ht="12.75" x14ac:dyDescent="0.2">
      <c r="A14" s="89" t="s">
        <v>122</v>
      </c>
      <c r="G14" s="47"/>
      <c r="H14" s="47"/>
      <c r="I14" s="47"/>
      <c r="J14" s="47"/>
      <c r="K14" s="47"/>
      <c r="L14" s="47"/>
      <c r="M14" s="47"/>
      <c r="N14" s="47"/>
      <c r="O14" s="47"/>
      <c r="P14" s="48"/>
    </row>
    <row r="15" spans="1:16" s="20" customFormat="1" ht="12.75" x14ac:dyDescent="0.2">
      <c r="A15" s="88" t="s">
        <v>56</v>
      </c>
      <c r="G15" s="47"/>
      <c r="H15" s="47"/>
      <c r="I15" s="47"/>
      <c r="J15" s="47"/>
      <c r="K15" s="47"/>
      <c r="L15" s="47"/>
      <c r="M15" s="47"/>
      <c r="N15" s="47"/>
      <c r="O15" s="47"/>
      <c r="P15" s="48"/>
    </row>
  </sheetData>
  <hyperlinks>
    <hyperlink ref="A14" r:id="rId1" display="https://myutility.winnipeg.ca/UtilityPortal/UtilityBilling/rates" xr:uid="{886C647B-95F2-43CB-90BE-30010A093287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75"/>
  <sheetViews>
    <sheetView zoomScaleNormal="100" workbookViewId="0">
      <selection activeCell="A7" sqref="A7"/>
    </sheetView>
  </sheetViews>
  <sheetFormatPr defaultRowHeight="15" x14ac:dyDescent="0.25"/>
  <cols>
    <col min="1" max="1" width="35.7109375" customWidth="1"/>
    <col min="2" max="2" width="26.42578125" customWidth="1"/>
    <col min="3" max="3" width="12.7109375" customWidth="1"/>
    <col min="4" max="4" width="12.42578125" customWidth="1"/>
    <col min="5" max="5" width="15.42578125" customWidth="1"/>
    <col min="6" max="7" width="15" customWidth="1"/>
    <col min="8" max="8" width="13.85546875" customWidth="1"/>
    <col min="9" max="9" width="15.5703125" customWidth="1"/>
    <col min="10" max="11" width="14.42578125" customWidth="1"/>
    <col min="12" max="12" width="15.85546875" customWidth="1"/>
    <col min="13" max="13" width="17.7109375" customWidth="1"/>
    <col min="14" max="14" width="17" customWidth="1"/>
    <col min="15" max="15" width="22.42578125" customWidth="1"/>
    <col min="16" max="17" width="13.85546875" customWidth="1"/>
    <col min="18" max="18" width="13.140625" customWidth="1"/>
    <col min="19" max="19" width="14.140625" customWidth="1"/>
    <col min="20" max="28" width="12.28515625" customWidth="1"/>
  </cols>
  <sheetData>
    <row r="1" spans="1:16" ht="21" x14ac:dyDescent="0.25">
      <c r="A1" s="1" t="s">
        <v>62</v>
      </c>
      <c r="B1" s="4"/>
      <c r="C1" s="4"/>
      <c r="D1" s="4"/>
      <c r="E1" s="78" t="s">
        <v>62</v>
      </c>
      <c r="F1" s="78"/>
      <c r="G1" s="78"/>
      <c r="H1" s="78"/>
      <c r="I1" s="78"/>
      <c r="J1" s="78"/>
      <c r="K1" s="78"/>
    </row>
    <row r="2" spans="1:16" ht="18.75" x14ac:dyDescent="0.25">
      <c r="A2" s="2" t="s">
        <v>63</v>
      </c>
      <c r="B2" s="5"/>
      <c r="C2" s="5"/>
      <c r="D2" s="5"/>
      <c r="E2" s="76" t="s">
        <v>63</v>
      </c>
      <c r="F2" s="76"/>
      <c r="G2" s="76"/>
      <c r="H2" s="76"/>
      <c r="I2" s="76"/>
      <c r="J2" s="76"/>
      <c r="K2" s="76"/>
    </row>
    <row r="3" spans="1:16" ht="18.75" x14ac:dyDescent="0.25">
      <c r="A3" s="2" t="s">
        <v>99</v>
      </c>
      <c r="B3" s="5"/>
      <c r="C3" s="5"/>
      <c r="D3" s="5"/>
      <c r="E3" s="76" t="s">
        <v>2</v>
      </c>
      <c r="F3" s="76"/>
      <c r="G3" s="76"/>
      <c r="H3" s="76"/>
      <c r="I3" s="76"/>
      <c r="J3" s="76"/>
      <c r="K3" s="76"/>
    </row>
    <row r="4" spans="1:16" ht="18.75" x14ac:dyDescent="0.25">
      <c r="A4" s="2" t="s">
        <v>4</v>
      </c>
      <c r="B4" s="5"/>
      <c r="C4" s="5"/>
      <c r="D4" s="5"/>
      <c r="E4" s="76" t="s">
        <v>0</v>
      </c>
      <c r="F4" s="76"/>
      <c r="G4" s="76"/>
      <c r="H4" s="76"/>
      <c r="I4" s="76"/>
      <c r="J4" s="76"/>
      <c r="K4" s="76"/>
    </row>
    <row r="5" spans="1:16" ht="18.75" x14ac:dyDescent="0.3">
      <c r="A5" s="2" t="s">
        <v>82</v>
      </c>
      <c r="B5" s="5"/>
      <c r="C5" s="5"/>
      <c r="D5" s="5"/>
      <c r="E5" s="2" t="s">
        <v>58</v>
      </c>
      <c r="F5" s="2" t="s">
        <v>83</v>
      </c>
      <c r="G5" s="2" t="s">
        <v>84</v>
      </c>
      <c r="H5" s="2" t="s">
        <v>85</v>
      </c>
      <c r="I5" s="2" t="s">
        <v>86</v>
      </c>
      <c r="J5" s="2" t="s">
        <v>87</v>
      </c>
      <c r="K5" s="2" t="s">
        <v>110</v>
      </c>
      <c r="M5" s="19"/>
      <c r="N5" s="19"/>
      <c r="O5" s="19"/>
      <c r="P5" s="19"/>
    </row>
    <row r="6" spans="1:16" ht="15.75" x14ac:dyDescent="0.25">
      <c r="A6" s="12" t="s">
        <v>78</v>
      </c>
      <c r="B6" s="6"/>
      <c r="C6" s="6"/>
      <c r="D6" s="6"/>
    </row>
    <row r="7" spans="1:16" x14ac:dyDescent="0.25">
      <c r="A7" s="7" t="s">
        <v>1</v>
      </c>
      <c r="E7" s="49">
        <v>1.82</v>
      </c>
      <c r="F7" s="49">
        <v>1.82</v>
      </c>
      <c r="G7" s="49">
        <v>1.86</v>
      </c>
      <c r="H7" s="27">
        <v>1.9</v>
      </c>
      <c r="I7" s="27">
        <v>1.95</v>
      </c>
      <c r="J7" s="27">
        <v>2</v>
      </c>
      <c r="K7" s="27">
        <v>2.04</v>
      </c>
      <c r="N7" s="29"/>
      <c r="O7" s="29"/>
      <c r="P7" s="29"/>
    </row>
    <row r="8" spans="1:16" x14ac:dyDescent="0.25">
      <c r="A8" s="7" t="s">
        <v>24</v>
      </c>
      <c r="E8" s="27">
        <v>2.8</v>
      </c>
      <c r="F8" s="27">
        <v>2.8</v>
      </c>
      <c r="G8" s="27">
        <v>2.81</v>
      </c>
      <c r="H8" s="27">
        <v>2.86</v>
      </c>
      <c r="I8" s="27">
        <v>2.91</v>
      </c>
      <c r="J8" s="27">
        <v>2.96</v>
      </c>
      <c r="K8" s="27">
        <v>3.21</v>
      </c>
      <c r="N8" s="29"/>
      <c r="O8" s="29"/>
      <c r="P8" s="29"/>
    </row>
    <row r="9" spans="1:16" x14ac:dyDescent="0.25">
      <c r="A9" s="7" t="s">
        <v>3</v>
      </c>
      <c r="E9" s="27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</row>
    <row r="10" spans="1:16" s="19" customFormat="1" ht="17.25" x14ac:dyDescent="0.3">
      <c r="A10" s="26" t="s">
        <v>79</v>
      </c>
      <c r="E10" s="50">
        <f t="shared" ref="E10:K10" si="0">SUM(E7:E9)</f>
        <v>4.62</v>
      </c>
      <c r="F10" s="50">
        <f t="shared" si="0"/>
        <v>4.62</v>
      </c>
      <c r="G10" s="50">
        <f t="shared" si="0"/>
        <v>4.67</v>
      </c>
      <c r="H10" s="50">
        <f t="shared" si="0"/>
        <v>4.76</v>
      </c>
      <c r="I10" s="50">
        <f t="shared" si="0"/>
        <v>4.8600000000000003</v>
      </c>
      <c r="J10" s="50">
        <f t="shared" ref="J10" si="1">SUM(J7:J9)</f>
        <v>4.96</v>
      </c>
      <c r="K10" s="50">
        <f t="shared" si="0"/>
        <v>5.25</v>
      </c>
    </row>
    <row r="11" spans="1:16" x14ac:dyDescent="0.25">
      <c r="E11" s="9"/>
      <c r="F11" s="9"/>
      <c r="G11" s="9"/>
      <c r="H11" s="9"/>
      <c r="I11" s="9"/>
    </row>
    <row r="12" spans="1:16" ht="18.75" x14ac:dyDescent="0.25">
      <c r="A12" s="2" t="s">
        <v>67</v>
      </c>
      <c r="E12" s="76" t="s">
        <v>67</v>
      </c>
      <c r="F12" s="76"/>
      <c r="G12" s="76"/>
      <c r="H12" s="76"/>
      <c r="I12" s="76"/>
      <c r="J12" s="76"/>
      <c r="K12" s="76"/>
      <c r="N12" s="29"/>
      <c r="O12" s="29"/>
      <c r="P12" s="29"/>
    </row>
    <row r="13" spans="1:16" ht="18.75" x14ac:dyDescent="0.25">
      <c r="A13" s="2" t="s">
        <v>99</v>
      </c>
      <c r="E13" s="76" t="s">
        <v>2</v>
      </c>
      <c r="F13" s="76"/>
      <c r="G13" s="76"/>
      <c r="H13" s="76"/>
      <c r="I13" s="76"/>
      <c r="J13" s="76"/>
      <c r="K13" s="76"/>
    </row>
    <row r="14" spans="1:16" ht="18.75" x14ac:dyDescent="0.25">
      <c r="A14" s="2" t="s">
        <v>64</v>
      </c>
      <c r="E14" s="76" t="s">
        <v>64</v>
      </c>
      <c r="F14" s="76"/>
      <c r="G14" s="76"/>
      <c r="H14" s="76"/>
      <c r="I14" s="76"/>
      <c r="J14" s="76"/>
      <c r="K14" s="76"/>
      <c r="N14" s="29"/>
      <c r="O14" s="29"/>
      <c r="P14" s="29"/>
    </row>
    <row r="15" spans="1:16" ht="18.75" x14ac:dyDescent="0.25">
      <c r="A15" s="2" t="s">
        <v>4</v>
      </c>
      <c r="E15" s="76" t="s">
        <v>51</v>
      </c>
      <c r="F15" s="76"/>
      <c r="G15" s="76"/>
      <c r="H15" s="76"/>
      <c r="I15" s="76"/>
      <c r="J15" s="76"/>
      <c r="K15" s="76"/>
    </row>
    <row r="16" spans="1:16" ht="18.75" x14ac:dyDescent="0.25">
      <c r="A16" s="2" t="s">
        <v>34</v>
      </c>
      <c r="E16" s="2" t="s">
        <v>65</v>
      </c>
      <c r="F16" s="2" t="s">
        <v>66</v>
      </c>
      <c r="G16" s="2" t="s">
        <v>88</v>
      </c>
      <c r="H16" s="2" t="s">
        <v>89</v>
      </c>
      <c r="I16" s="2" t="s">
        <v>90</v>
      </c>
      <c r="J16" s="2" t="s">
        <v>91</v>
      </c>
      <c r="K16" s="2" t="s">
        <v>111</v>
      </c>
    </row>
    <row r="17" spans="1:21" ht="15.75" x14ac:dyDescent="0.25">
      <c r="A17" s="3" t="s">
        <v>75</v>
      </c>
      <c r="E17" s="9"/>
    </row>
    <row r="18" spans="1:21" x14ac:dyDescent="0.25">
      <c r="A18" s="7" t="s">
        <v>68</v>
      </c>
      <c r="E18" s="27">
        <v>1.2499034376207001</v>
      </c>
      <c r="F18" s="27">
        <v>1.2499034376207001</v>
      </c>
      <c r="G18" s="27">
        <v>1.2499034376207001</v>
      </c>
      <c r="H18" s="27">
        <v>1.30011587485516</v>
      </c>
      <c r="I18" s="27">
        <v>1.3499420625724201</v>
      </c>
      <c r="J18" s="27">
        <v>1.3499420625724219</v>
      </c>
      <c r="K18" s="27">
        <v>1.4001544998068753</v>
      </c>
      <c r="N18" s="44"/>
      <c r="O18" s="44"/>
      <c r="P18" s="44"/>
      <c r="Q18" s="44"/>
      <c r="R18" s="44"/>
      <c r="S18" s="44"/>
      <c r="T18" s="44"/>
      <c r="U18" s="44"/>
    </row>
    <row r="19" spans="1:21" x14ac:dyDescent="0.25">
      <c r="A19" s="7" t="s">
        <v>69</v>
      </c>
      <c r="E19" s="27">
        <v>1.1999015263417037</v>
      </c>
      <c r="F19" s="27">
        <v>1.1999015263417001</v>
      </c>
      <c r="G19" s="27">
        <v>1.1999015263417001</v>
      </c>
      <c r="H19" s="27">
        <v>1.2501230920728701</v>
      </c>
      <c r="I19" s="27">
        <v>1.2998522895125555</v>
      </c>
      <c r="J19" s="27">
        <v>1.2998522895125555</v>
      </c>
      <c r="K19" s="27">
        <v>1.3500738552437224</v>
      </c>
      <c r="N19" s="44"/>
      <c r="O19" s="44"/>
      <c r="P19" s="44"/>
      <c r="Q19" s="44"/>
      <c r="R19" s="44"/>
      <c r="S19" s="44"/>
      <c r="T19" s="44"/>
      <c r="U19" s="44"/>
    </row>
    <row r="20" spans="1:21" x14ac:dyDescent="0.25">
      <c r="A20" s="7" t="s">
        <v>70</v>
      </c>
      <c r="E20" s="27">
        <v>4.6006179992275014</v>
      </c>
      <c r="F20" s="27">
        <v>5.000772499034376</v>
      </c>
      <c r="G20" s="27">
        <v>5.000772499034376</v>
      </c>
      <c r="H20" s="27">
        <v>5.2008497489378103</v>
      </c>
      <c r="I20" s="27">
        <v>5.4009269988412516</v>
      </c>
      <c r="J20" s="27">
        <v>5.50096562379297</v>
      </c>
      <c r="K20" s="27">
        <v>5.6010042487446894</v>
      </c>
      <c r="N20" s="44"/>
      <c r="O20" s="44"/>
      <c r="P20" s="44"/>
      <c r="Q20" s="44"/>
      <c r="R20" s="44"/>
      <c r="S20" s="44"/>
      <c r="T20" s="44"/>
      <c r="U20" s="44"/>
    </row>
    <row r="21" spans="1:21" x14ac:dyDescent="0.25">
      <c r="A21" s="7" t="s">
        <v>71</v>
      </c>
      <c r="E21" s="27">
        <v>15</v>
      </c>
      <c r="F21" s="27">
        <v>18</v>
      </c>
      <c r="G21" s="27">
        <v>20</v>
      </c>
      <c r="H21" s="27">
        <v>21</v>
      </c>
      <c r="I21" s="27">
        <v>22</v>
      </c>
      <c r="J21" s="27">
        <v>22</v>
      </c>
      <c r="K21" s="27">
        <v>23</v>
      </c>
      <c r="N21" s="44"/>
      <c r="O21" s="44"/>
      <c r="P21" s="44"/>
      <c r="Q21" s="44"/>
      <c r="R21" s="44"/>
      <c r="S21" s="44"/>
      <c r="T21" s="44"/>
      <c r="U21" s="44"/>
    </row>
    <row r="22" spans="1:21" x14ac:dyDescent="0.25">
      <c r="A22" s="20" t="s">
        <v>56</v>
      </c>
      <c r="E22" s="21"/>
      <c r="F22" s="9"/>
      <c r="G22" s="9"/>
      <c r="H22" s="9"/>
      <c r="I22" s="9"/>
      <c r="N22" s="44"/>
      <c r="O22" s="44"/>
      <c r="P22" s="44"/>
      <c r="Q22" s="44"/>
      <c r="R22" s="44"/>
      <c r="S22" s="44"/>
      <c r="T22" s="44"/>
      <c r="U22" s="44"/>
    </row>
    <row r="23" spans="1:21" ht="18.75" x14ac:dyDescent="0.25">
      <c r="A23" s="2" t="s">
        <v>60</v>
      </c>
      <c r="B23" s="5"/>
      <c r="C23" s="5"/>
      <c r="D23" s="5"/>
      <c r="E23" s="76" t="s">
        <v>60</v>
      </c>
      <c r="F23" s="76"/>
      <c r="G23" s="76"/>
      <c r="H23" s="76"/>
      <c r="I23" s="76"/>
      <c r="J23" s="76"/>
      <c r="K23" s="76"/>
    </row>
    <row r="24" spans="1:21" ht="18.75" x14ac:dyDescent="0.25">
      <c r="A24" s="2" t="s">
        <v>99</v>
      </c>
      <c r="B24" s="5"/>
      <c r="C24" s="5"/>
      <c r="D24" s="5"/>
      <c r="E24" s="76" t="s">
        <v>2</v>
      </c>
      <c r="F24" s="76"/>
      <c r="G24" s="76"/>
      <c r="H24" s="76"/>
      <c r="I24" s="76"/>
      <c r="J24" s="76"/>
      <c r="K24" s="76"/>
    </row>
    <row r="25" spans="1:21" ht="18.75" x14ac:dyDescent="0.25">
      <c r="A25" s="2" t="s">
        <v>7</v>
      </c>
      <c r="B25" s="5"/>
      <c r="C25" s="5"/>
      <c r="D25" s="5"/>
      <c r="E25" s="76" t="s">
        <v>7</v>
      </c>
      <c r="F25" s="76"/>
      <c r="G25" s="76"/>
      <c r="H25" s="76"/>
      <c r="I25" s="76"/>
      <c r="J25" s="76"/>
      <c r="K25" s="76"/>
    </row>
    <row r="26" spans="1:21" ht="18.75" x14ac:dyDescent="0.25">
      <c r="A26" s="2" t="s">
        <v>4</v>
      </c>
      <c r="B26" s="5"/>
      <c r="C26" s="5"/>
      <c r="D26" s="5"/>
      <c r="E26" s="76" t="s">
        <v>19</v>
      </c>
      <c r="F26" s="76"/>
      <c r="G26" s="76"/>
      <c r="H26" s="76"/>
      <c r="I26" s="76"/>
      <c r="J26" s="76"/>
      <c r="K26" s="76"/>
    </row>
    <row r="27" spans="1:21" ht="18.75" x14ac:dyDescent="0.25">
      <c r="A27" s="2" t="s">
        <v>5</v>
      </c>
      <c r="B27" s="5"/>
      <c r="C27" s="5"/>
      <c r="D27" s="5"/>
      <c r="E27" s="76" t="s">
        <v>97</v>
      </c>
      <c r="F27" s="76"/>
      <c r="G27" s="76"/>
      <c r="H27" s="76"/>
      <c r="I27" s="76"/>
      <c r="J27" s="76"/>
      <c r="K27" s="76"/>
    </row>
    <row r="28" spans="1:21" ht="18.75" x14ac:dyDescent="0.25">
      <c r="A28" s="2" t="s">
        <v>61</v>
      </c>
      <c r="B28" s="5"/>
      <c r="C28" s="5"/>
      <c r="D28" s="5"/>
      <c r="E28" s="2" t="s">
        <v>57</v>
      </c>
      <c r="F28" s="2" t="s">
        <v>92</v>
      </c>
      <c r="G28" s="2" t="s">
        <v>93</v>
      </c>
      <c r="H28" s="2" t="s">
        <v>94</v>
      </c>
      <c r="I28" s="2" t="s">
        <v>95</v>
      </c>
      <c r="J28" s="2" t="s">
        <v>96</v>
      </c>
      <c r="K28" s="2" t="s">
        <v>112</v>
      </c>
    </row>
    <row r="29" spans="1:21" ht="15.75" x14ac:dyDescent="0.25">
      <c r="A29" s="3" t="s">
        <v>6</v>
      </c>
      <c r="B29" s="6"/>
      <c r="C29" s="6"/>
      <c r="D29" s="6"/>
    </row>
    <row r="30" spans="1:21" x14ac:dyDescent="0.25">
      <c r="A30" s="7" t="s">
        <v>8</v>
      </c>
      <c r="C30" s="28"/>
      <c r="D30" s="28"/>
      <c r="E30" s="51">
        <v>0.55000000000000004</v>
      </c>
      <c r="F30" s="51">
        <v>0.55000000000000004</v>
      </c>
      <c r="G30" s="51">
        <v>0.61</v>
      </c>
      <c r="H30" s="51">
        <v>0.66</v>
      </c>
      <c r="I30" s="51">
        <v>0.7</v>
      </c>
      <c r="J30" s="51">
        <v>0.73</v>
      </c>
      <c r="K30" s="51">
        <v>0.75</v>
      </c>
      <c r="N30" s="29"/>
      <c r="O30" s="29"/>
      <c r="P30" s="29"/>
    </row>
    <row r="31" spans="1:21" x14ac:dyDescent="0.25">
      <c r="A31" s="7" t="s">
        <v>9</v>
      </c>
      <c r="C31" s="28"/>
      <c r="D31" s="28"/>
      <c r="E31" s="51">
        <v>0.56999999999999995</v>
      </c>
      <c r="F31" s="51">
        <v>0.56999999999999995</v>
      </c>
      <c r="G31" s="51">
        <v>0.64</v>
      </c>
      <c r="H31" s="51">
        <v>0.69</v>
      </c>
      <c r="I31" s="51">
        <v>0.73</v>
      </c>
      <c r="J31" s="51">
        <v>0.77</v>
      </c>
      <c r="K31" s="51">
        <v>0.79</v>
      </c>
      <c r="N31" s="29"/>
      <c r="O31" s="29"/>
      <c r="P31" s="29"/>
    </row>
    <row r="32" spans="1:21" x14ac:dyDescent="0.25">
      <c r="A32" s="7" t="s">
        <v>10</v>
      </c>
      <c r="C32" s="28"/>
      <c r="D32" s="28"/>
      <c r="E32" s="51">
        <v>0.62</v>
      </c>
      <c r="F32" s="51">
        <v>0.62</v>
      </c>
      <c r="G32" s="51">
        <v>0.71</v>
      </c>
      <c r="H32" s="51">
        <v>0.77</v>
      </c>
      <c r="I32" s="51">
        <v>0.82</v>
      </c>
      <c r="J32" s="51">
        <v>0.88</v>
      </c>
      <c r="K32" s="51">
        <v>0.9</v>
      </c>
      <c r="N32" s="29"/>
      <c r="O32" s="29"/>
      <c r="P32" s="29"/>
    </row>
    <row r="33" spans="1:16" x14ac:dyDescent="0.25">
      <c r="A33" s="7" t="s">
        <v>11</v>
      </c>
      <c r="C33" s="28"/>
      <c r="D33" s="28"/>
      <c r="E33" s="51">
        <v>0.69</v>
      </c>
      <c r="F33" s="51">
        <v>0.69</v>
      </c>
      <c r="G33" s="51">
        <v>0.81</v>
      </c>
      <c r="H33" s="51">
        <v>0.89</v>
      </c>
      <c r="I33" s="51">
        <v>0.95</v>
      </c>
      <c r="J33" s="51">
        <v>1.02</v>
      </c>
      <c r="K33" s="51">
        <v>1.05</v>
      </c>
      <c r="N33" s="29"/>
      <c r="O33" s="29"/>
      <c r="P33" s="29"/>
    </row>
    <row r="34" spans="1:16" x14ac:dyDescent="0.25">
      <c r="A34" s="7" t="s">
        <v>12</v>
      </c>
      <c r="C34" s="28"/>
      <c r="D34" s="28"/>
      <c r="E34" s="51">
        <v>0.9</v>
      </c>
      <c r="F34" s="51">
        <v>0.9</v>
      </c>
      <c r="G34" s="51">
        <v>1.08</v>
      </c>
      <c r="H34" s="51">
        <v>1.2</v>
      </c>
      <c r="I34" s="51">
        <v>1.31</v>
      </c>
      <c r="J34" s="51">
        <v>1.41</v>
      </c>
      <c r="K34" s="51">
        <v>1.45</v>
      </c>
      <c r="N34" s="29"/>
      <c r="O34" s="29"/>
      <c r="P34" s="29"/>
    </row>
    <row r="35" spans="1:16" x14ac:dyDescent="0.25">
      <c r="A35" s="7" t="s">
        <v>13</v>
      </c>
      <c r="C35" s="28"/>
      <c r="D35" s="28"/>
      <c r="E35" s="51">
        <v>2.39</v>
      </c>
      <c r="F35" s="51">
        <v>2.39</v>
      </c>
      <c r="G35" s="51">
        <v>3.08</v>
      </c>
      <c r="H35" s="51">
        <v>3.53</v>
      </c>
      <c r="I35" s="51">
        <v>3.91</v>
      </c>
      <c r="J35" s="51">
        <v>4.3</v>
      </c>
      <c r="K35" s="51">
        <v>4.45</v>
      </c>
      <c r="N35" s="29"/>
      <c r="O35" s="29"/>
      <c r="P35" s="29"/>
    </row>
    <row r="36" spans="1:16" x14ac:dyDescent="0.25">
      <c r="A36" s="7" t="s">
        <v>14</v>
      </c>
      <c r="C36" s="28"/>
      <c r="D36" s="28"/>
      <c r="E36" s="51">
        <v>2.94</v>
      </c>
      <c r="F36" s="51">
        <v>2.94</v>
      </c>
      <c r="G36" s="51">
        <v>3.82</v>
      </c>
      <c r="H36" s="51">
        <v>4.3899999999999997</v>
      </c>
      <c r="I36" s="51">
        <v>4.88</v>
      </c>
      <c r="J36" s="51">
        <v>5.37</v>
      </c>
      <c r="K36" s="51">
        <v>5.56</v>
      </c>
      <c r="N36" s="29"/>
      <c r="O36" s="29"/>
      <c r="P36" s="29"/>
    </row>
    <row r="37" spans="1:16" x14ac:dyDescent="0.25">
      <c r="A37" s="7" t="s">
        <v>15</v>
      </c>
      <c r="C37" s="28"/>
      <c r="D37" s="28"/>
      <c r="E37" s="51">
        <v>4.24</v>
      </c>
      <c r="F37" s="51">
        <v>4.24</v>
      </c>
      <c r="G37" s="51">
        <v>5.55</v>
      </c>
      <c r="H37" s="51">
        <v>6.4</v>
      </c>
      <c r="I37" s="51">
        <v>7.13</v>
      </c>
      <c r="J37" s="51">
        <v>7.87</v>
      </c>
      <c r="K37" s="51">
        <v>8.14</v>
      </c>
      <c r="N37" s="29"/>
      <c r="O37" s="29"/>
      <c r="P37" s="29"/>
    </row>
    <row r="38" spans="1:16" x14ac:dyDescent="0.25">
      <c r="A38" s="7" t="s">
        <v>16</v>
      </c>
      <c r="C38" s="28"/>
      <c r="D38" s="28"/>
      <c r="E38" s="51">
        <v>5.71</v>
      </c>
      <c r="F38" s="51">
        <v>5.71</v>
      </c>
      <c r="G38" s="51">
        <v>7.52</v>
      </c>
      <c r="H38" s="51">
        <v>8.69</v>
      </c>
      <c r="I38" s="51">
        <v>9.7100000000000009</v>
      </c>
      <c r="J38" s="51">
        <v>10.72</v>
      </c>
      <c r="K38" s="51">
        <v>11.1</v>
      </c>
      <c r="N38" s="29"/>
      <c r="O38" s="29"/>
      <c r="P38" s="29"/>
    </row>
    <row r="39" spans="1:16" x14ac:dyDescent="0.25">
      <c r="A39" s="7" t="s">
        <v>17</v>
      </c>
      <c r="C39" s="28"/>
      <c r="D39" s="28"/>
      <c r="E39" s="51">
        <v>7.19</v>
      </c>
      <c r="F39" s="51">
        <v>7.19</v>
      </c>
      <c r="G39" s="51">
        <v>9.49</v>
      </c>
      <c r="H39" s="51">
        <v>10.99</v>
      </c>
      <c r="I39" s="51">
        <v>12.28</v>
      </c>
      <c r="J39" s="51">
        <v>13.58</v>
      </c>
      <c r="K39" s="51">
        <v>14.06</v>
      </c>
      <c r="N39" s="29"/>
      <c r="O39" s="29"/>
      <c r="P39" s="29"/>
    </row>
    <row r="40" spans="1:16" x14ac:dyDescent="0.25">
      <c r="A40" s="20" t="s">
        <v>20</v>
      </c>
      <c r="E40" s="8"/>
    </row>
    <row r="41" spans="1:16" ht="18.75" x14ac:dyDescent="0.25">
      <c r="A41" s="2"/>
      <c r="E41" s="76"/>
      <c r="F41" s="76"/>
      <c r="G41" s="76"/>
      <c r="H41" s="76"/>
      <c r="I41" s="76"/>
      <c r="J41" s="76"/>
      <c r="K41" s="76"/>
    </row>
    <row r="43" spans="1:16" ht="18.75" x14ac:dyDescent="0.25">
      <c r="A43" s="2" t="s">
        <v>60</v>
      </c>
      <c r="E43" s="76" t="s">
        <v>60</v>
      </c>
      <c r="F43" s="76"/>
      <c r="G43" s="76"/>
      <c r="H43" s="76"/>
      <c r="I43" s="76"/>
      <c r="J43" s="76"/>
      <c r="K43" s="76"/>
    </row>
    <row r="44" spans="1:16" ht="18.75" x14ac:dyDescent="0.25">
      <c r="A44" s="2" t="s">
        <v>99</v>
      </c>
      <c r="E44" s="76" t="s">
        <v>2</v>
      </c>
      <c r="F44" s="76"/>
      <c r="G44" s="76"/>
      <c r="H44" s="76"/>
      <c r="I44" s="76"/>
      <c r="J44" s="76"/>
      <c r="K44" s="76"/>
    </row>
    <row r="45" spans="1:16" ht="18.75" x14ac:dyDescent="0.25">
      <c r="A45" s="2" t="s">
        <v>7</v>
      </c>
      <c r="E45" s="76" t="s">
        <v>7</v>
      </c>
      <c r="F45" s="76"/>
      <c r="G45" s="76"/>
      <c r="H45" s="76"/>
      <c r="I45" s="76"/>
      <c r="J45" s="76"/>
      <c r="K45" s="76"/>
    </row>
    <row r="46" spans="1:16" ht="18.75" x14ac:dyDescent="0.25">
      <c r="A46" s="2" t="s">
        <v>4</v>
      </c>
      <c r="E46" s="76" t="s">
        <v>18</v>
      </c>
      <c r="F46" s="76"/>
      <c r="G46" s="76"/>
      <c r="H46" s="76"/>
      <c r="I46" s="76"/>
      <c r="J46" s="76"/>
      <c r="K46" s="76"/>
    </row>
    <row r="47" spans="1:16" ht="18.75" x14ac:dyDescent="0.25">
      <c r="A47" s="2" t="s">
        <v>5</v>
      </c>
      <c r="E47" s="76" t="s">
        <v>97</v>
      </c>
      <c r="F47" s="76"/>
      <c r="G47" s="76"/>
      <c r="H47" s="76"/>
      <c r="I47" s="76"/>
      <c r="J47" s="76"/>
      <c r="K47" s="76"/>
    </row>
    <row r="48" spans="1:16" ht="18.75" x14ac:dyDescent="0.25">
      <c r="A48" s="2" t="s">
        <v>61</v>
      </c>
      <c r="E48" s="13" t="s">
        <v>57</v>
      </c>
      <c r="F48" s="13" t="s">
        <v>59</v>
      </c>
      <c r="G48" s="13" t="s">
        <v>98</v>
      </c>
      <c r="H48" s="13" t="s">
        <v>113</v>
      </c>
      <c r="I48" s="13" t="s">
        <v>114</v>
      </c>
      <c r="J48" s="13" t="s">
        <v>115</v>
      </c>
      <c r="K48" s="13" t="s">
        <v>116</v>
      </c>
    </row>
    <row r="49" spans="1:16" ht="15.75" x14ac:dyDescent="0.25">
      <c r="A49" s="3" t="s">
        <v>6</v>
      </c>
    </row>
    <row r="50" spans="1:16" x14ac:dyDescent="0.25">
      <c r="A50" s="7" t="s">
        <v>8</v>
      </c>
      <c r="E50" s="52">
        <v>0.5</v>
      </c>
      <c r="F50" s="52">
        <v>0.5</v>
      </c>
      <c r="G50" s="52">
        <v>0.56000000000000005</v>
      </c>
      <c r="H50" s="52">
        <v>0.61</v>
      </c>
      <c r="I50" s="52">
        <v>0.65</v>
      </c>
      <c r="J50" s="52">
        <v>0.68</v>
      </c>
      <c r="K50" s="52">
        <v>0.7</v>
      </c>
      <c r="N50" s="29"/>
      <c r="O50" s="29"/>
      <c r="P50" s="29"/>
    </row>
    <row r="51" spans="1:16" x14ac:dyDescent="0.25">
      <c r="A51" s="7" t="s">
        <v>9</v>
      </c>
      <c r="E51" s="52">
        <v>0.5</v>
      </c>
      <c r="F51" s="52">
        <v>0.5</v>
      </c>
      <c r="G51" s="52">
        <v>0.56000000000000005</v>
      </c>
      <c r="H51" s="52">
        <v>0.61</v>
      </c>
      <c r="I51" s="52">
        <v>0.65</v>
      </c>
      <c r="J51" s="52">
        <v>0.68</v>
      </c>
      <c r="K51" s="52">
        <v>0.7</v>
      </c>
    </row>
    <row r="52" spans="1:16" x14ac:dyDescent="0.25">
      <c r="A52" s="7" t="s">
        <v>10</v>
      </c>
      <c r="E52" s="52">
        <v>0.5</v>
      </c>
      <c r="F52" s="52">
        <v>0.5</v>
      </c>
      <c r="G52" s="52">
        <v>0.56000000000000005</v>
      </c>
      <c r="H52" s="52">
        <v>0.61</v>
      </c>
      <c r="I52" s="52">
        <v>0.65</v>
      </c>
      <c r="J52" s="52">
        <v>0.68</v>
      </c>
      <c r="K52" s="52">
        <v>0.7</v>
      </c>
    </row>
    <row r="53" spans="1:16" x14ac:dyDescent="0.25">
      <c r="A53" s="7" t="s">
        <v>11</v>
      </c>
      <c r="E53" s="52">
        <v>0.5</v>
      </c>
      <c r="F53" s="52">
        <v>0.5</v>
      </c>
      <c r="G53" s="52">
        <v>0.56000000000000005</v>
      </c>
      <c r="H53" s="52">
        <v>0.61</v>
      </c>
      <c r="I53" s="52">
        <v>0.65</v>
      </c>
      <c r="J53" s="52">
        <v>0.68</v>
      </c>
      <c r="K53" s="52">
        <v>0.7</v>
      </c>
    </row>
    <row r="54" spans="1:16" x14ac:dyDescent="0.25">
      <c r="A54" s="7" t="s">
        <v>12</v>
      </c>
      <c r="E54" s="52">
        <v>0.5</v>
      </c>
      <c r="F54" s="52">
        <v>0.5</v>
      </c>
      <c r="G54" s="52">
        <v>0.56000000000000005</v>
      </c>
      <c r="H54" s="52">
        <v>0.61</v>
      </c>
      <c r="I54" s="52">
        <v>0.65</v>
      </c>
      <c r="J54" s="52">
        <v>0.68</v>
      </c>
      <c r="K54" s="52">
        <v>0.7</v>
      </c>
    </row>
    <row r="55" spans="1:16" x14ac:dyDescent="0.25">
      <c r="A55" s="7" t="s">
        <v>13</v>
      </c>
      <c r="E55" s="52">
        <v>0.5</v>
      </c>
      <c r="F55" s="52">
        <v>0.5</v>
      </c>
      <c r="G55" s="52">
        <v>0.56000000000000005</v>
      </c>
      <c r="H55" s="52">
        <v>0.61</v>
      </c>
      <c r="I55" s="52">
        <v>0.65</v>
      </c>
      <c r="J55" s="52">
        <v>0.68</v>
      </c>
      <c r="K55" s="52">
        <v>0.7</v>
      </c>
    </row>
    <row r="56" spans="1:16" x14ac:dyDescent="0.25">
      <c r="A56" s="7" t="s">
        <v>14</v>
      </c>
      <c r="E56" s="52">
        <v>0.5</v>
      </c>
      <c r="F56" s="52">
        <v>0.5</v>
      </c>
      <c r="G56" s="52">
        <v>0.56000000000000005</v>
      </c>
      <c r="H56" s="52">
        <v>0.61</v>
      </c>
      <c r="I56" s="52">
        <v>0.65</v>
      </c>
      <c r="J56" s="52">
        <v>0.68</v>
      </c>
      <c r="K56" s="52">
        <v>0.7</v>
      </c>
    </row>
    <row r="57" spans="1:16" x14ac:dyDescent="0.25">
      <c r="A57" s="7" t="s">
        <v>15</v>
      </c>
      <c r="E57" s="52">
        <v>0.5</v>
      </c>
      <c r="F57" s="52">
        <v>0.5</v>
      </c>
      <c r="G57" s="52">
        <v>0.56000000000000005</v>
      </c>
      <c r="H57" s="52">
        <v>0.61</v>
      </c>
      <c r="I57" s="52">
        <v>0.65</v>
      </c>
      <c r="J57" s="52">
        <v>0.68</v>
      </c>
      <c r="K57" s="52">
        <v>0.7</v>
      </c>
    </row>
    <row r="58" spans="1:16" x14ac:dyDescent="0.25">
      <c r="A58" s="7" t="s">
        <v>16</v>
      </c>
      <c r="E58" s="52">
        <v>0.5</v>
      </c>
      <c r="F58" s="52">
        <v>0.5</v>
      </c>
      <c r="G58" s="52">
        <v>0.56000000000000005</v>
      </c>
      <c r="H58" s="52">
        <v>0.61</v>
      </c>
      <c r="I58" s="52">
        <v>0.65</v>
      </c>
      <c r="J58" s="52">
        <v>0.68</v>
      </c>
      <c r="K58" s="52">
        <v>0.7</v>
      </c>
    </row>
    <row r="59" spans="1:16" x14ac:dyDescent="0.25">
      <c r="A59" s="7" t="s">
        <v>17</v>
      </c>
      <c r="E59" s="52">
        <v>0.5</v>
      </c>
      <c r="F59" s="52">
        <v>0.5</v>
      </c>
      <c r="G59" s="52">
        <v>0.56000000000000005</v>
      </c>
      <c r="H59" s="52">
        <v>0.61</v>
      </c>
      <c r="I59" s="52">
        <v>0.65</v>
      </c>
      <c r="J59" s="52">
        <v>0.68</v>
      </c>
      <c r="K59" s="52">
        <v>0.7</v>
      </c>
    </row>
    <row r="60" spans="1:16" x14ac:dyDescent="0.25">
      <c r="A60" s="20" t="s">
        <v>20</v>
      </c>
      <c r="E60" s="9"/>
    </row>
    <row r="61" spans="1:16" ht="18.75" x14ac:dyDescent="0.25">
      <c r="A61" s="2"/>
      <c r="E61" s="76"/>
      <c r="F61" s="76"/>
      <c r="G61" s="76"/>
      <c r="H61" s="76"/>
      <c r="I61" s="76"/>
      <c r="J61" s="76"/>
      <c r="K61" s="76"/>
    </row>
    <row r="63" spans="1:16" ht="21" x14ac:dyDescent="0.25">
      <c r="A63" s="74" t="s">
        <v>107</v>
      </c>
      <c r="B63" s="74"/>
      <c r="C63" s="74"/>
      <c r="D63" s="4"/>
      <c r="E63" s="78" t="s">
        <v>108</v>
      </c>
      <c r="F63" s="78"/>
      <c r="G63" s="78"/>
      <c r="H63" s="78"/>
      <c r="I63" s="78"/>
      <c r="J63" s="78"/>
      <c r="K63" s="78"/>
      <c r="M63" s="5"/>
      <c r="N63" s="5"/>
      <c r="O63" s="5"/>
    </row>
    <row r="64" spans="1:16" ht="18.75" x14ac:dyDescent="0.25">
      <c r="A64" s="75" t="s">
        <v>99</v>
      </c>
      <c r="B64" s="75"/>
      <c r="C64" s="75"/>
      <c r="D64" s="5"/>
      <c r="E64" s="76" t="s">
        <v>2</v>
      </c>
      <c r="F64" s="76"/>
      <c r="G64" s="76"/>
      <c r="H64" s="76"/>
      <c r="I64" s="76"/>
      <c r="J64" s="76"/>
      <c r="K64" s="76"/>
    </row>
    <row r="65" spans="1:11" ht="18.75" x14ac:dyDescent="0.25">
      <c r="A65" s="75" t="s">
        <v>4</v>
      </c>
      <c r="B65" s="75"/>
      <c r="C65" s="75"/>
      <c r="D65" s="5"/>
      <c r="E65" s="76" t="s">
        <v>21</v>
      </c>
      <c r="F65" s="76"/>
      <c r="G65" s="76"/>
      <c r="H65" s="76"/>
      <c r="I65" s="76"/>
      <c r="J65" s="76"/>
      <c r="K65" s="76"/>
    </row>
    <row r="66" spans="1:11" ht="18.75" x14ac:dyDescent="0.25">
      <c r="A66" s="75" t="s">
        <v>33</v>
      </c>
      <c r="B66" s="75"/>
      <c r="C66" s="75"/>
      <c r="D66" s="5"/>
      <c r="E66" s="76" t="s">
        <v>28</v>
      </c>
      <c r="F66" s="76"/>
      <c r="G66" s="76"/>
      <c r="H66" s="76"/>
      <c r="I66" s="76"/>
      <c r="J66" s="76"/>
      <c r="K66" s="76"/>
    </row>
    <row r="67" spans="1:11" ht="18.75" x14ac:dyDescent="0.25">
      <c r="A67" s="75" t="s">
        <v>34</v>
      </c>
      <c r="B67" s="75"/>
      <c r="C67" s="75"/>
      <c r="D67" s="5"/>
      <c r="E67" s="11">
        <v>2018</v>
      </c>
      <c r="F67" s="11">
        <v>2019</v>
      </c>
      <c r="G67" s="11">
        <v>2020</v>
      </c>
      <c r="H67" s="11">
        <v>2021</v>
      </c>
      <c r="I67" s="11">
        <v>2022</v>
      </c>
      <c r="J67" s="11">
        <v>2023</v>
      </c>
      <c r="K67" s="11">
        <v>2024</v>
      </c>
    </row>
    <row r="68" spans="1:11" ht="15.75" x14ac:dyDescent="0.25">
      <c r="A68" s="3" t="s">
        <v>26</v>
      </c>
      <c r="B68" s="3" t="s">
        <v>29</v>
      </c>
      <c r="C68" s="12" t="s">
        <v>78</v>
      </c>
      <c r="D68" s="6"/>
      <c r="F68" s="29"/>
      <c r="G68" s="29"/>
      <c r="H68" s="29"/>
      <c r="I68" s="29"/>
      <c r="J68" s="29"/>
      <c r="K68" s="29"/>
    </row>
    <row r="69" spans="1:11" x14ac:dyDescent="0.25">
      <c r="A69" s="77" t="s">
        <v>27</v>
      </c>
      <c r="B69" s="77" t="s">
        <v>25</v>
      </c>
      <c r="C69" s="7" t="s">
        <v>1</v>
      </c>
      <c r="E69" s="53">
        <f t="shared" ref="E69:J69" si="2">E$7*240</f>
        <v>436.8</v>
      </c>
      <c r="F69" s="53">
        <f t="shared" si="2"/>
        <v>436.8</v>
      </c>
      <c r="G69" s="53">
        <f t="shared" si="2"/>
        <v>446.40000000000003</v>
      </c>
      <c r="H69" s="53">
        <f t="shared" si="2"/>
        <v>456</v>
      </c>
      <c r="I69" s="53">
        <f t="shared" si="2"/>
        <v>468</v>
      </c>
      <c r="J69" s="53">
        <f t="shared" si="2"/>
        <v>480</v>
      </c>
      <c r="K69" s="53">
        <f>K$7*240</f>
        <v>489.6</v>
      </c>
    </row>
    <row r="70" spans="1:11" x14ac:dyDescent="0.25">
      <c r="A70" s="77"/>
      <c r="B70" s="77"/>
      <c r="C70" s="7" t="s">
        <v>24</v>
      </c>
      <c r="E70" s="53">
        <f t="shared" ref="E70:K70" si="3">E$8*240</f>
        <v>672</v>
      </c>
      <c r="F70" s="53">
        <f t="shared" si="3"/>
        <v>672</v>
      </c>
      <c r="G70" s="53">
        <f t="shared" si="3"/>
        <v>674.4</v>
      </c>
      <c r="H70" s="53">
        <f t="shared" si="3"/>
        <v>686.4</v>
      </c>
      <c r="I70" s="53">
        <f t="shared" si="3"/>
        <v>698.40000000000009</v>
      </c>
      <c r="J70" s="53">
        <f t="shared" si="3"/>
        <v>710.4</v>
      </c>
      <c r="K70" s="53">
        <f t="shared" si="3"/>
        <v>770.4</v>
      </c>
    </row>
    <row r="71" spans="1:11" s="19" customFormat="1" ht="17.25" x14ac:dyDescent="0.3">
      <c r="A71" s="73" t="s">
        <v>79</v>
      </c>
      <c r="B71" s="73"/>
      <c r="C71" s="73"/>
      <c r="D71" s="38"/>
      <c r="E71" s="54">
        <f>SUM(E69:E70)</f>
        <v>1108.8</v>
      </c>
      <c r="F71" s="54">
        <f t="shared" ref="F71:K71" si="4">SUM(F69:F70)</f>
        <v>1108.8</v>
      </c>
      <c r="G71" s="54">
        <f t="shared" si="4"/>
        <v>1120.8</v>
      </c>
      <c r="H71" s="54">
        <f t="shared" si="4"/>
        <v>1142.4000000000001</v>
      </c>
      <c r="I71" s="54">
        <f t="shared" si="4"/>
        <v>1166.4000000000001</v>
      </c>
      <c r="J71" s="54">
        <f t="shared" si="4"/>
        <v>1190.4000000000001</v>
      </c>
      <c r="K71" s="54">
        <f t="shared" si="4"/>
        <v>1260</v>
      </c>
    </row>
    <row r="72" spans="1:11" x14ac:dyDescent="0.25">
      <c r="A72" s="79" t="s">
        <v>30</v>
      </c>
      <c r="B72" s="79"/>
      <c r="C72" s="79"/>
      <c r="D72" s="14"/>
      <c r="E72" s="55">
        <f>E$30*365</f>
        <v>200.75000000000003</v>
      </c>
      <c r="F72" s="55">
        <f t="shared" ref="F72:J72" si="5">F$30*365</f>
        <v>200.75000000000003</v>
      </c>
      <c r="G72" s="55">
        <f t="shared" si="5"/>
        <v>222.65</v>
      </c>
      <c r="H72" s="55">
        <f t="shared" si="5"/>
        <v>240.9</v>
      </c>
      <c r="I72" s="55">
        <f t="shared" si="5"/>
        <v>255.49999999999997</v>
      </c>
      <c r="J72" s="55">
        <f t="shared" si="5"/>
        <v>266.45</v>
      </c>
      <c r="K72" s="55">
        <f>K$30*365</f>
        <v>273.75</v>
      </c>
    </row>
    <row r="73" spans="1:11" x14ac:dyDescent="0.25">
      <c r="A73" s="79" t="s">
        <v>31</v>
      </c>
      <c r="B73" s="79"/>
      <c r="C73" s="79"/>
      <c r="D73" s="14"/>
      <c r="E73" s="55">
        <v>0</v>
      </c>
      <c r="F73" s="55">
        <v>0</v>
      </c>
      <c r="G73" s="55">
        <v>0</v>
      </c>
      <c r="H73" s="55">
        <v>0</v>
      </c>
      <c r="I73" s="55">
        <v>0</v>
      </c>
      <c r="J73" s="55">
        <v>0</v>
      </c>
      <c r="K73" s="55">
        <v>0</v>
      </c>
    </row>
    <row r="74" spans="1:11" s="10" customFormat="1" ht="18.75" x14ac:dyDescent="0.3">
      <c r="A74" s="80" t="s">
        <v>32</v>
      </c>
      <c r="B74" s="80"/>
      <c r="C74" s="80"/>
      <c r="D74" s="39"/>
      <c r="E74" s="56">
        <f>SUM(E71:E73)</f>
        <v>1309.55</v>
      </c>
      <c r="F74" s="56">
        <f t="shared" ref="F74:J74" si="6">SUM(F71:F73)</f>
        <v>1309.55</v>
      </c>
      <c r="G74" s="56">
        <f t="shared" si="6"/>
        <v>1343.45</v>
      </c>
      <c r="H74" s="56">
        <f t="shared" si="6"/>
        <v>1383.3000000000002</v>
      </c>
      <c r="I74" s="56">
        <f t="shared" si="6"/>
        <v>1421.9</v>
      </c>
      <c r="J74" s="56">
        <f t="shared" si="6"/>
        <v>1456.8500000000001</v>
      </c>
      <c r="K74" s="56">
        <f>SUM(K71:K73)</f>
        <v>1533.75</v>
      </c>
    </row>
    <row r="75" spans="1:11" x14ac:dyDescent="0.25">
      <c r="A75" s="79" t="s">
        <v>36</v>
      </c>
      <c r="B75" s="79"/>
      <c r="C75" s="79"/>
      <c r="D75" s="14"/>
      <c r="E75" s="57"/>
      <c r="F75" s="53">
        <f>F74-E74</f>
        <v>0</v>
      </c>
      <c r="G75" s="53">
        <f t="shared" ref="G75:K75" si="7">G74-F74</f>
        <v>33.900000000000091</v>
      </c>
      <c r="H75" s="53">
        <f t="shared" si="7"/>
        <v>39.850000000000136</v>
      </c>
      <c r="I75" s="53">
        <f t="shared" si="7"/>
        <v>38.599999999999909</v>
      </c>
      <c r="J75" s="53">
        <f t="shared" si="7"/>
        <v>34.950000000000045</v>
      </c>
      <c r="K75" s="53">
        <f t="shared" si="7"/>
        <v>76.899999999999864</v>
      </c>
    </row>
    <row r="76" spans="1:11" x14ac:dyDescent="0.25">
      <c r="A76" s="79" t="s">
        <v>37</v>
      </c>
      <c r="B76" s="79"/>
      <c r="C76" s="79"/>
      <c r="D76" s="14"/>
      <c r="E76" s="58"/>
      <c r="F76" s="59">
        <f>F75/E74</f>
        <v>0</v>
      </c>
      <c r="G76" s="59">
        <f t="shared" ref="G76:K76" si="8">G75/F74</f>
        <v>2.5886754992172953E-2</v>
      </c>
      <c r="H76" s="59">
        <f t="shared" si="8"/>
        <v>2.9662436264840622E-2</v>
      </c>
      <c r="I76" s="59">
        <f t="shared" si="8"/>
        <v>2.7904286850285481E-2</v>
      </c>
      <c r="J76" s="59">
        <f t="shared" si="8"/>
        <v>2.4579787608129997E-2</v>
      </c>
      <c r="K76" s="59">
        <f t="shared" si="8"/>
        <v>5.2785118577753275E-2</v>
      </c>
    </row>
    <row r="77" spans="1:11" x14ac:dyDescent="0.25">
      <c r="A77" s="14"/>
      <c r="B77" s="14"/>
      <c r="C77" s="14"/>
      <c r="D77" s="14"/>
      <c r="E77" s="30"/>
      <c r="F77" s="30"/>
      <c r="G77" s="30"/>
      <c r="H77" s="30"/>
      <c r="I77" s="30"/>
      <c r="J77" s="30"/>
      <c r="K77" s="30"/>
    </row>
    <row r="78" spans="1:11" ht="18.75" x14ac:dyDescent="0.25">
      <c r="A78" s="75" t="s">
        <v>99</v>
      </c>
      <c r="B78" s="75"/>
      <c r="C78" s="75"/>
      <c r="D78" s="5"/>
      <c r="E78" s="76" t="s">
        <v>2</v>
      </c>
      <c r="F78" s="76"/>
      <c r="G78" s="76"/>
      <c r="H78" s="76"/>
      <c r="I78" s="76"/>
      <c r="J78" s="76"/>
      <c r="K78" s="76"/>
    </row>
    <row r="79" spans="1:11" ht="18.75" x14ac:dyDescent="0.25">
      <c r="A79" s="75" t="s">
        <v>4</v>
      </c>
      <c r="B79" s="75"/>
      <c r="C79" s="75"/>
      <c r="D79" s="5"/>
      <c r="E79" s="76" t="s">
        <v>35</v>
      </c>
      <c r="F79" s="76"/>
      <c r="G79" s="76"/>
      <c r="H79" s="76"/>
      <c r="I79" s="76"/>
      <c r="J79" s="76"/>
      <c r="K79" s="76"/>
    </row>
    <row r="80" spans="1:11" ht="18.75" x14ac:dyDescent="0.25">
      <c r="A80" s="75" t="s">
        <v>33</v>
      </c>
      <c r="B80" s="75"/>
      <c r="C80" s="75"/>
      <c r="D80" s="5"/>
      <c r="E80" s="76" t="s">
        <v>28</v>
      </c>
      <c r="F80" s="76"/>
      <c r="G80" s="76"/>
      <c r="H80" s="76"/>
      <c r="I80" s="76"/>
      <c r="J80" s="76"/>
      <c r="K80" s="76"/>
    </row>
    <row r="81" spans="1:11" ht="18.75" x14ac:dyDescent="0.25">
      <c r="A81" s="75" t="s">
        <v>34</v>
      </c>
      <c r="B81" s="75"/>
      <c r="C81" s="75"/>
      <c r="D81" s="5"/>
      <c r="E81" s="11">
        <v>2018</v>
      </c>
      <c r="F81" s="11">
        <v>2019</v>
      </c>
      <c r="G81" s="11">
        <v>2020</v>
      </c>
      <c r="H81" s="11">
        <v>2021</v>
      </c>
      <c r="I81" s="11">
        <v>2022</v>
      </c>
      <c r="J81" s="11">
        <v>2023</v>
      </c>
      <c r="K81" s="11">
        <v>2024</v>
      </c>
    </row>
    <row r="82" spans="1:11" ht="15.75" x14ac:dyDescent="0.25">
      <c r="A82" s="3" t="s">
        <v>26</v>
      </c>
      <c r="B82" s="3" t="s">
        <v>29</v>
      </c>
      <c r="C82" s="12" t="s">
        <v>78</v>
      </c>
      <c r="D82" s="6"/>
      <c r="F82" s="29"/>
      <c r="G82" s="29"/>
      <c r="H82" s="29"/>
      <c r="I82" s="29"/>
      <c r="J82" s="29"/>
      <c r="K82" s="29"/>
    </row>
    <row r="83" spans="1:11" x14ac:dyDescent="0.25">
      <c r="A83" s="77" t="s">
        <v>38</v>
      </c>
      <c r="B83" s="77" t="s">
        <v>39</v>
      </c>
      <c r="C83" s="7" t="s">
        <v>1</v>
      </c>
      <c r="E83" s="60">
        <f t="shared" ref="E83:K83" si="9">E$7*1600</f>
        <v>2912</v>
      </c>
      <c r="F83" s="60">
        <f t="shared" si="9"/>
        <v>2912</v>
      </c>
      <c r="G83" s="60">
        <f t="shared" si="9"/>
        <v>2976</v>
      </c>
      <c r="H83" s="60">
        <f t="shared" si="9"/>
        <v>3040</v>
      </c>
      <c r="I83" s="60">
        <f t="shared" si="9"/>
        <v>3120</v>
      </c>
      <c r="J83" s="60">
        <f t="shared" si="9"/>
        <v>3200</v>
      </c>
      <c r="K83" s="60">
        <f t="shared" si="9"/>
        <v>3264</v>
      </c>
    </row>
    <row r="84" spans="1:11" x14ac:dyDescent="0.25">
      <c r="A84" s="77"/>
      <c r="B84" s="77"/>
      <c r="C84" s="7" t="s">
        <v>24</v>
      </c>
      <c r="E84" s="60">
        <f t="shared" ref="E84:K84" si="10">E$8*1600</f>
        <v>4480</v>
      </c>
      <c r="F84" s="60">
        <f t="shared" si="10"/>
        <v>4480</v>
      </c>
      <c r="G84" s="60">
        <f t="shared" si="10"/>
        <v>4496</v>
      </c>
      <c r="H84" s="60">
        <f t="shared" si="10"/>
        <v>4576</v>
      </c>
      <c r="I84" s="60">
        <f t="shared" si="10"/>
        <v>4656</v>
      </c>
      <c r="J84" s="60">
        <f t="shared" si="10"/>
        <v>4736</v>
      </c>
      <c r="K84" s="60">
        <f t="shared" si="10"/>
        <v>5136</v>
      </c>
    </row>
    <row r="85" spans="1:11" s="19" customFormat="1" ht="17.25" x14ac:dyDescent="0.3">
      <c r="A85" s="73" t="s">
        <v>79</v>
      </c>
      <c r="B85" s="73"/>
      <c r="C85" s="73"/>
      <c r="D85" s="38"/>
      <c r="E85" s="54">
        <f>SUM(E83:E84)</f>
        <v>7392</v>
      </c>
      <c r="F85" s="54">
        <f t="shared" ref="F85:K85" si="11">SUM(F83:F84)</f>
        <v>7392</v>
      </c>
      <c r="G85" s="54">
        <f t="shared" si="11"/>
        <v>7472</v>
      </c>
      <c r="H85" s="54">
        <f t="shared" si="11"/>
        <v>7616</v>
      </c>
      <c r="I85" s="54">
        <f t="shared" si="11"/>
        <v>7776</v>
      </c>
      <c r="J85" s="54">
        <f t="shared" si="11"/>
        <v>7936</v>
      </c>
      <c r="K85" s="54">
        <f t="shared" si="11"/>
        <v>8400</v>
      </c>
    </row>
    <row r="86" spans="1:11" x14ac:dyDescent="0.25">
      <c r="A86" s="79" t="s">
        <v>30</v>
      </c>
      <c r="B86" s="79"/>
      <c r="C86" s="79"/>
      <c r="D86" s="14"/>
      <c r="E86" s="55">
        <f>E$34*365</f>
        <v>328.5</v>
      </c>
      <c r="F86" s="55">
        <f t="shared" ref="F86:K86" si="12">F$34*365</f>
        <v>328.5</v>
      </c>
      <c r="G86" s="55">
        <f t="shared" si="12"/>
        <v>394.20000000000005</v>
      </c>
      <c r="H86" s="55">
        <f t="shared" si="12"/>
        <v>438</v>
      </c>
      <c r="I86" s="55">
        <f t="shared" si="12"/>
        <v>478.15000000000003</v>
      </c>
      <c r="J86" s="55">
        <f t="shared" si="12"/>
        <v>514.65</v>
      </c>
      <c r="K86" s="55">
        <f t="shared" si="12"/>
        <v>529.25</v>
      </c>
    </row>
    <row r="87" spans="1:11" x14ac:dyDescent="0.25">
      <c r="A87" s="7" t="s">
        <v>31</v>
      </c>
      <c r="B87" s="81">
        <v>25000</v>
      </c>
      <c r="C87" s="82"/>
      <c r="D87" s="40"/>
      <c r="E87" s="55">
        <v>0</v>
      </c>
      <c r="F87" s="55">
        <v>0</v>
      </c>
      <c r="G87" s="55">
        <v>0</v>
      </c>
      <c r="H87" s="55">
        <v>0</v>
      </c>
      <c r="I87" s="55">
        <v>0</v>
      </c>
      <c r="J87" s="55">
        <v>0</v>
      </c>
      <c r="K87" s="55">
        <v>0</v>
      </c>
    </row>
    <row r="88" spans="1:11" s="10" customFormat="1" ht="18.75" x14ac:dyDescent="0.3">
      <c r="A88" s="80" t="s">
        <v>32</v>
      </c>
      <c r="B88" s="80"/>
      <c r="C88" s="80"/>
      <c r="D88" s="39"/>
      <c r="E88" s="56">
        <f>SUM(E85:E87)</f>
        <v>7720.5</v>
      </c>
      <c r="F88" s="56">
        <f t="shared" ref="F88:K88" si="13">SUM(F85:F87)</f>
        <v>7720.5</v>
      </c>
      <c r="G88" s="56">
        <f t="shared" si="13"/>
        <v>7866.2</v>
      </c>
      <c r="H88" s="56">
        <f t="shared" si="13"/>
        <v>8054</v>
      </c>
      <c r="I88" s="56">
        <f t="shared" si="13"/>
        <v>8254.15</v>
      </c>
      <c r="J88" s="56">
        <f t="shared" si="13"/>
        <v>8450.65</v>
      </c>
      <c r="K88" s="56">
        <f t="shared" si="13"/>
        <v>8929.25</v>
      </c>
    </row>
    <row r="89" spans="1:11" x14ac:dyDescent="0.25">
      <c r="A89" s="79" t="s">
        <v>36</v>
      </c>
      <c r="B89" s="79"/>
      <c r="C89" s="79"/>
      <c r="D89" s="14"/>
      <c r="E89" s="57"/>
      <c r="F89" s="53">
        <f>F88-E88</f>
        <v>0</v>
      </c>
      <c r="G89" s="53">
        <f t="shared" ref="G89:K89" si="14">G88-F88</f>
        <v>145.69999999999982</v>
      </c>
      <c r="H89" s="53">
        <f t="shared" si="14"/>
        <v>187.80000000000018</v>
      </c>
      <c r="I89" s="53">
        <f t="shared" si="14"/>
        <v>200.14999999999964</v>
      </c>
      <c r="J89" s="53">
        <f t="shared" si="14"/>
        <v>196.5</v>
      </c>
      <c r="K89" s="53">
        <f t="shared" si="14"/>
        <v>478.60000000000036</v>
      </c>
    </row>
    <row r="90" spans="1:11" x14ac:dyDescent="0.25">
      <c r="A90" s="79" t="s">
        <v>37</v>
      </c>
      <c r="B90" s="79"/>
      <c r="C90" s="79"/>
      <c r="D90" s="14"/>
      <c r="E90" s="57"/>
      <c r="F90" s="59">
        <f>F89/E88</f>
        <v>0</v>
      </c>
      <c r="G90" s="59">
        <f t="shared" ref="G90:K90" si="15">G89/F88</f>
        <v>1.8871834725730174E-2</v>
      </c>
      <c r="H90" s="59">
        <f t="shared" si="15"/>
        <v>2.3874297627825402E-2</v>
      </c>
      <c r="I90" s="59">
        <f t="shared" si="15"/>
        <v>2.4851005711447681E-2</v>
      </c>
      <c r="J90" s="59">
        <f t="shared" si="15"/>
        <v>2.3806206574874457E-2</v>
      </c>
      <c r="K90" s="59">
        <f t="shared" si="15"/>
        <v>5.6634696739304123E-2</v>
      </c>
    </row>
    <row r="91" spans="1:11" x14ac:dyDescent="0.25">
      <c r="A91" s="14"/>
      <c r="B91" s="14"/>
      <c r="C91" s="14"/>
      <c r="D91" s="14"/>
      <c r="E91" s="30"/>
      <c r="F91" s="30"/>
      <c r="G91" s="30"/>
      <c r="H91" s="30"/>
      <c r="I91" s="30"/>
      <c r="J91" s="30"/>
      <c r="K91" s="30"/>
    </row>
    <row r="92" spans="1:11" ht="18.75" x14ac:dyDescent="0.25">
      <c r="A92" s="75" t="s">
        <v>99</v>
      </c>
      <c r="B92" s="75"/>
      <c r="C92" s="75"/>
      <c r="D92" s="5"/>
      <c r="E92" s="76" t="s">
        <v>2</v>
      </c>
      <c r="F92" s="76"/>
      <c r="G92" s="76"/>
      <c r="H92" s="76"/>
      <c r="I92" s="76"/>
      <c r="J92" s="76"/>
      <c r="K92" s="76"/>
    </row>
    <row r="93" spans="1:11" ht="18.75" x14ac:dyDescent="0.25">
      <c r="A93" s="75" t="s">
        <v>4</v>
      </c>
      <c r="B93" s="75"/>
      <c r="C93" s="75"/>
      <c r="D93" s="5"/>
      <c r="E93" s="76" t="s">
        <v>40</v>
      </c>
      <c r="F93" s="76"/>
      <c r="G93" s="76"/>
      <c r="H93" s="76"/>
      <c r="I93" s="76"/>
      <c r="J93" s="76"/>
      <c r="K93" s="76"/>
    </row>
    <row r="94" spans="1:11" ht="18.75" x14ac:dyDescent="0.25">
      <c r="A94" s="75" t="s">
        <v>33</v>
      </c>
      <c r="B94" s="75"/>
      <c r="C94" s="75"/>
      <c r="D94" s="5"/>
      <c r="E94" s="76" t="s">
        <v>28</v>
      </c>
      <c r="F94" s="76"/>
      <c r="G94" s="76"/>
      <c r="H94" s="76"/>
      <c r="I94" s="76"/>
      <c r="J94" s="76"/>
      <c r="K94" s="76"/>
    </row>
    <row r="95" spans="1:11" ht="18.75" x14ac:dyDescent="0.25">
      <c r="A95" s="75" t="s">
        <v>34</v>
      </c>
      <c r="B95" s="75"/>
      <c r="C95" s="75"/>
      <c r="D95" s="5"/>
      <c r="E95" s="11">
        <v>2018</v>
      </c>
      <c r="F95" s="11">
        <v>2019</v>
      </c>
      <c r="G95" s="11">
        <v>2020</v>
      </c>
      <c r="H95" s="11">
        <v>2021</v>
      </c>
      <c r="I95" s="11">
        <v>2022</v>
      </c>
      <c r="J95" s="11">
        <v>2023</v>
      </c>
      <c r="K95" s="11">
        <v>2024</v>
      </c>
    </row>
    <row r="96" spans="1:11" ht="15.75" x14ac:dyDescent="0.25">
      <c r="A96" s="3" t="s">
        <v>26</v>
      </c>
      <c r="B96" s="3" t="s">
        <v>29</v>
      </c>
      <c r="C96" s="12" t="s">
        <v>78</v>
      </c>
      <c r="D96" s="6"/>
      <c r="F96" s="29"/>
      <c r="G96" s="29"/>
      <c r="H96" s="29"/>
      <c r="I96" s="29"/>
      <c r="J96" s="29"/>
      <c r="K96" s="29"/>
    </row>
    <row r="97" spans="1:11" x14ac:dyDescent="0.25">
      <c r="A97" s="77" t="s">
        <v>42</v>
      </c>
      <c r="B97" s="77" t="s">
        <v>41</v>
      </c>
      <c r="C97" s="7" t="s">
        <v>1</v>
      </c>
      <c r="E97" s="60">
        <f t="shared" ref="E97:K97" si="16">E$7*17700</f>
        <v>32214</v>
      </c>
      <c r="F97" s="60">
        <f t="shared" si="16"/>
        <v>32214</v>
      </c>
      <c r="G97" s="60">
        <f t="shared" si="16"/>
        <v>32922</v>
      </c>
      <c r="H97" s="60">
        <f t="shared" si="16"/>
        <v>33630</v>
      </c>
      <c r="I97" s="60">
        <f t="shared" si="16"/>
        <v>34515</v>
      </c>
      <c r="J97" s="60">
        <f t="shared" si="16"/>
        <v>35400</v>
      </c>
      <c r="K97" s="60">
        <f t="shared" si="16"/>
        <v>36108</v>
      </c>
    </row>
    <row r="98" spans="1:11" x14ac:dyDescent="0.25">
      <c r="A98" s="77"/>
      <c r="B98" s="77"/>
      <c r="C98" s="7" t="s">
        <v>24</v>
      </c>
      <c r="E98" s="60">
        <f t="shared" ref="E98:K98" si="17">E$8*17700</f>
        <v>49560</v>
      </c>
      <c r="F98" s="60">
        <f t="shared" si="17"/>
        <v>49560</v>
      </c>
      <c r="G98" s="60">
        <f t="shared" si="17"/>
        <v>49737</v>
      </c>
      <c r="H98" s="60">
        <f t="shared" si="17"/>
        <v>50622</v>
      </c>
      <c r="I98" s="60">
        <f t="shared" si="17"/>
        <v>51507</v>
      </c>
      <c r="J98" s="60">
        <f t="shared" si="17"/>
        <v>52392</v>
      </c>
      <c r="K98" s="60">
        <f t="shared" si="17"/>
        <v>56817</v>
      </c>
    </row>
    <row r="99" spans="1:11" s="19" customFormat="1" ht="17.25" x14ac:dyDescent="0.3">
      <c r="A99" s="73" t="s">
        <v>79</v>
      </c>
      <c r="B99" s="73"/>
      <c r="C99" s="73"/>
      <c r="D99" s="38"/>
      <c r="E99" s="54">
        <f>SUM(E97:E98)</f>
        <v>81774</v>
      </c>
      <c r="F99" s="54">
        <f t="shared" ref="F99:K99" si="18">SUM(F97:F98)</f>
        <v>81774</v>
      </c>
      <c r="G99" s="54">
        <f t="shared" si="18"/>
        <v>82659</v>
      </c>
      <c r="H99" s="54">
        <f t="shared" si="18"/>
        <v>84252</v>
      </c>
      <c r="I99" s="54">
        <f t="shared" si="18"/>
        <v>86022</v>
      </c>
      <c r="J99" s="54">
        <f t="shared" si="18"/>
        <v>87792</v>
      </c>
      <c r="K99" s="54">
        <f t="shared" si="18"/>
        <v>92925</v>
      </c>
    </row>
    <row r="100" spans="1:11" x14ac:dyDescent="0.25">
      <c r="A100" s="79" t="s">
        <v>30</v>
      </c>
      <c r="B100" s="79"/>
      <c r="C100" s="79"/>
      <c r="D100" s="14"/>
      <c r="E100" s="55">
        <f>E$35*365</f>
        <v>872.35</v>
      </c>
      <c r="F100" s="55">
        <f t="shared" ref="F100:K100" si="19">F$35*365</f>
        <v>872.35</v>
      </c>
      <c r="G100" s="55">
        <f t="shared" si="19"/>
        <v>1124.2</v>
      </c>
      <c r="H100" s="55">
        <f t="shared" si="19"/>
        <v>1288.4499999999998</v>
      </c>
      <c r="I100" s="55">
        <f t="shared" si="19"/>
        <v>1427.15</v>
      </c>
      <c r="J100" s="55">
        <f t="shared" si="19"/>
        <v>1569.5</v>
      </c>
      <c r="K100" s="55">
        <f t="shared" si="19"/>
        <v>1624.25</v>
      </c>
    </row>
    <row r="101" spans="1:11" x14ac:dyDescent="0.25">
      <c r="A101" s="7" t="s">
        <v>31</v>
      </c>
      <c r="B101" s="81">
        <v>38600</v>
      </c>
      <c r="C101" s="82"/>
      <c r="D101" s="40"/>
      <c r="E101" s="55">
        <v>0</v>
      </c>
      <c r="F101" s="55">
        <v>0</v>
      </c>
      <c r="G101" s="55">
        <v>0</v>
      </c>
      <c r="H101" s="55">
        <v>0</v>
      </c>
      <c r="I101" s="55">
        <v>0</v>
      </c>
      <c r="J101" s="55">
        <v>0</v>
      </c>
      <c r="K101" s="55">
        <v>0</v>
      </c>
    </row>
    <row r="102" spans="1:11" s="10" customFormat="1" ht="18.75" x14ac:dyDescent="0.3">
      <c r="A102" s="80" t="s">
        <v>32</v>
      </c>
      <c r="B102" s="80"/>
      <c r="C102" s="80"/>
      <c r="D102" s="39"/>
      <c r="E102" s="56">
        <f>SUM(E99:E101)</f>
        <v>82646.350000000006</v>
      </c>
      <c r="F102" s="56">
        <f t="shared" ref="F102:K102" si="20">SUM(F99:F101)</f>
        <v>82646.350000000006</v>
      </c>
      <c r="G102" s="56">
        <f t="shared" si="20"/>
        <v>83783.199999999997</v>
      </c>
      <c r="H102" s="56">
        <f t="shared" si="20"/>
        <v>85540.45</v>
      </c>
      <c r="I102" s="56">
        <f t="shared" si="20"/>
        <v>87449.15</v>
      </c>
      <c r="J102" s="56">
        <f t="shared" si="20"/>
        <v>89361.5</v>
      </c>
      <c r="K102" s="56">
        <f t="shared" si="20"/>
        <v>94549.25</v>
      </c>
    </row>
    <row r="103" spans="1:11" x14ac:dyDescent="0.25">
      <c r="A103" s="79" t="s">
        <v>36</v>
      </c>
      <c r="B103" s="79"/>
      <c r="C103" s="79"/>
      <c r="D103" s="14"/>
      <c r="E103" s="57"/>
      <c r="F103" s="60">
        <f>F102-E102</f>
        <v>0</v>
      </c>
      <c r="G103" s="60">
        <f t="shared" ref="G103:K103" si="21">G102-F102</f>
        <v>1136.8499999999913</v>
      </c>
      <c r="H103" s="60">
        <f t="shared" si="21"/>
        <v>1757.25</v>
      </c>
      <c r="I103" s="60">
        <f t="shared" si="21"/>
        <v>1908.6999999999971</v>
      </c>
      <c r="J103" s="60">
        <f t="shared" si="21"/>
        <v>1912.3500000000058</v>
      </c>
      <c r="K103" s="60">
        <f t="shared" si="21"/>
        <v>5187.75</v>
      </c>
    </row>
    <row r="104" spans="1:11" x14ac:dyDescent="0.25">
      <c r="A104" s="79" t="s">
        <v>37</v>
      </c>
      <c r="B104" s="79"/>
      <c r="C104" s="79"/>
      <c r="D104" s="14"/>
      <c r="E104" s="57"/>
      <c r="F104" s="59">
        <f>F103/E102</f>
        <v>0</v>
      </c>
      <c r="G104" s="59">
        <f t="shared" ref="G104:K104" si="22">G103/F102</f>
        <v>1.3755598402107185E-2</v>
      </c>
      <c r="H104" s="59">
        <f t="shared" si="22"/>
        <v>2.0973775172110878E-2</v>
      </c>
      <c r="I104" s="59">
        <f t="shared" si="22"/>
        <v>2.2313420142166626E-2</v>
      </c>
      <c r="J104" s="59">
        <f t="shared" si="22"/>
        <v>2.18681370830935E-2</v>
      </c>
      <c r="K104" s="59">
        <f t="shared" si="22"/>
        <v>5.8053524168685616E-2</v>
      </c>
    </row>
    <row r="105" spans="1:11" x14ac:dyDescent="0.25">
      <c r="A105" s="14"/>
      <c r="B105" s="14"/>
      <c r="C105" s="14"/>
      <c r="D105" s="14"/>
      <c r="E105" s="30"/>
      <c r="F105" s="30"/>
      <c r="G105" s="30"/>
      <c r="H105" s="30"/>
      <c r="I105" s="30"/>
      <c r="J105" s="30"/>
      <c r="K105" s="30"/>
    </row>
    <row r="106" spans="1:11" ht="18.75" x14ac:dyDescent="0.25">
      <c r="A106" s="75" t="s">
        <v>99</v>
      </c>
      <c r="B106" s="75"/>
      <c r="C106" s="75"/>
      <c r="D106" s="5"/>
      <c r="E106" s="76" t="s">
        <v>2</v>
      </c>
      <c r="F106" s="76"/>
      <c r="G106" s="76"/>
      <c r="H106" s="76"/>
      <c r="I106" s="76"/>
      <c r="J106" s="76"/>
      <c r="K106" s="76"/>
    </row>
    <row r="107" spans="1:11" ht="18.75" x14ac:dyDescent="0.25">
      <c r="A107" s="75" t="s">
        <v>4</v>
      </c>
      <c r="B107" s="75"/>
      <c r="C107" s="75"/>
      <c r="D107" s="5"/>
      <c r="E107" s="76" t="s">
        <v>43</v>
      </c>
      <c r="F107" s="76"/>
      <c r="G107" s="76"/>
      <c r="H107" s="76"/>
      <c r="I107" s="76"/>
      <c r="J107" s="76"/>
      <c r="K107" s="76"/>
    </row>
    <row r="108" spans="1:11" ht="18.75" x14ac:dyDescent="0.25">
      <c r="A108" s="75" t="s">
        <v>33</v>
      </c>
      <c r="B108" s="75"/>
      <c r="C108" s="75"/>
      <c r="D108" s="5"/>
      <c r="E108" s="76" t="s">
        <v>28</v>
      </c>
      <c r="F108" s="76"/>
      <c r="G108" s="76"/>
      <c r="H108" s="76"/>
      <c r="I108" s="76"/>
      <c r="J108" s="76"/>
      <c r="K108" s="76"/>
    </row>
    <row r="109" spans="1:11" ht="18.75" x14ac:dyDescent="0.25">
      <c r="A109" s="75" t="s">
        <v>34</v>
      </c>
      <c r="B109" s="75"/>
      <c r="C109" s="75"/>
      <c r="D109" s="5"/>
      <c r="E109" s="13">
        <v>2018</v>
      </c>
      <c r="F109" s="13">
        <v>2019</v>
      </c>
      <c r="G109" s="13">
        <v>2020</v>
      </c>
      <c r="H109" s="13">
        <v>2021</v>
      </c>
      <c r="I109" s="11">
        <v>2022</v>
      </c>
      <c r="J109" s="11">
        <v>2023</v>
      </c>
      <c r="K109" s="11">
        <v>2024</v>
      </c>
    </row>
    <row r="110" spans="1:11" ht="15.75" x14ac:dyDescent="0.25">
      <c r="A110" s="3" t="s">
        <v>26</v>
      </c>
      <c r="B110" s="3" t="s">
        <v>29</v>
      </c>
      <c r="C110" s="12" t="s">
        <v>78</v>
      </c>
      <c r="D110" s="6"/>
      <c r="F110" s="29"/>
      <c r="G110" s="29"/>
      <c r="H110" s="29"/>
      <c r="I110" s="29"/>
      <c r="J110" s="29"/>
      <c r="K110" s="29"/>
    </row>
    <row r="111" spans="1:11" x14ac:dyDescent="0.25">
      <c r="A111" s="83" t="s">
        <v>44</v>
      </c>
      <c r="B111" s="83" t="s">
        <v>45</v>
      </c>
      <c r="C111" s="7" t="s">
        <v>1</v>
      </c>
      <c r="E111" s="61">
        <f t="shared" ref="E111:K111" si="23">E$7*254500</f>
        <v>463190</v>
      </c>
      <c r="F111" s="61">
        <f t="shared" si="23"/>
        <v>463190</v>
      </c>
      <c r="G111" s="61">
        <f t="shared" si="23"/>
        <v>473370</v>
      </c>
      <c r="H111" s="61">
        <f t="shared" si="23"/>
        <v>483550</v>
      </c>
      <c r="I111" s="61">
        <f t="shared" si="23"/>
        <v>496275</v>
      </c>
      <c r="J111" s="61">
        <f t="shared" si="23"/>
        <v>509000</v>
      </c>
      <c r="K111" s="61">
        <f t="shared" si="23"/>
        <v>519180</v>
      </c>
    </row>
    <row r="112" spans="1:11" x14ac:dyDescent="0.25">
      <c r="A112" s="84"/>
      <c r="B112" s="84"/>
      <c r="C112" s="7" t="s">
        <v>24</v>
      </c>
      <c r="E112" s="61">
        <f t="shared" ref="E112:K112" si="24">E$8*254500</f>
        <v>712600</v>
      </c>
      <c r="F112" s="61">
        <f t="shared" si="24"/>
        <v>712600</v>
      </c>
      <c r="G112" s="61">
        <f t="shared" si="24"/>
        <v>715145</v>
      </c>
      <c r="H112" s="61">
        <f t="shared" si="24"/>
        <v>727870</v>
      </c>
      <c r="I112" s="61">
        <f>I$8*254500</f>
        <v>740595</v>
      </c>
      <c r="J112" s="61">
        <f t="shared" si="24"/>
        <v>753320</v>
      </c>
      <c r="K112" s="61">
        <f t="shared" si="24"/>
        <v>816945</v>
      </c>
    </row>
    <row r="113" spans="1:11" x14ac:dyDescent="0.25">
      <c r="A113" s="84"/>
      <c r="B113" s="84"/>
      <c r="C113" s="7" t="s">
        <v>49</v>
      </c>
      <c r="E113" s="61">
        <f>-(E112-100000)*0.3</f>
        <v>-183780</v>
      </c>
      <c r="F113" s="61">
        <f>-(F112-100000)*0.3</f>
        <v>-183780</v>
      </c>
      <c r="G113" s="61">
        <f>-(G112-100000)*0.3</f>
        <v>-184543.5</v>
      </c>
      <c r="H113" s="61">
        <f>-(H112-100000)*0.2</f>
        <v>-125574</v>
      </c>
      <c r="I113" s="61">
        <f>-(I112-150000)*0.1</f>
        <v>-59059.5</v>
      </c>
      <c r="J113" s="61">
        <f>-(J112-150000)*0</f>
        <v>0</v>
      </c>
      <c r="K113" s="61">
        <f>-(K112-150000)*0</f>
        <v>0</v>
      </c>
    </row>
    <row r="114" spans="1:11" x14ac:dyDescent="0.25">
      <c r="A114" s="85"/>
      <c r="B114" s="85"/>
      <c r="C114" s="7" t="s">
        <v>50</v>
      </c>
      <c r="E114" s="61">
        <f>SUM(E112:E113)</f>
        <v>528820</v>
      </c>
      <c r="F114" s="61">
        <f t="shared" ref="F114:K114" si="25">SUM(F112:F113)</f>
        <v>528820</v>
      </c>
      <c r="G114" s="61">
        <f t="shared" si="25"/>
        <v>530601.5</v>
      </c>
      <c r="H114" s="61">
        <f t="shared" si="25"/>
        <v>602296</v>
      </c>
      <c r="I114" s="61">
        <f t="shared" si="25"/>
        <v>681535.5</v>
      </c>
      <c r="J114" s="61">
        <f t="shared" si="25"/>
        <v>753320</v>
      </c>
      <c r="K114" s="61">
        <f t="shared" si="25"/>
        <v>816945</v>
      </c>
    </row>
    <row r="115" spans="1:11" s="19" customFormat="1" ht="17.25" x14ac:dyDescent="0.3">
      <c r="A115" s="73" t="s">
        <v>79</v>
      </c>
      <c r="B115" s="73"/>
      <c r="C115" s="73"/>
      <c r="D115" s="38"/>
      <c r="E115" s="62">
        <f>SUM(E111,E114)</f>
        <v>992010</v>
      </c>
      <c r="F115" s="62">
        <f t="shared" ref="F115:K115" si="26">SUM(F111,F114)</f>
        <v>992010</v>
      </c>
      <c r="G115" s="62">
        <f t="shared" si="26"/>
        <v>1003971.5</v>
      </c>
      <c r="H115" s="62">
        <f t="shared" si="26"/>
        <v>1085846</v>
      </c>
      <c r="I115" s="62">
        <f t="shared" si="26"/>
        <v>1177810.5</v>
      </c>
      <c r="J115" s="62">
        <f t="shared" si="26"/>
        <v>1262320</v>
      </c>
      <c r="K115" s="62">
        <f t="shared" si="26"/>
        <v>1336125</v>
      </c>
    </row>
    <row r="116" spans="1:11" x14ac:dyDescent="0.25">
      <c r="A116" s="79" t="s">
        <v>30</v>
      </c>
      <c r="B116" s="79"/>
      <c r="C116" s="79"/>
      <c r="D116" s="14"/>
      <c r="E116" s="61">
        <f>E$38*365</f>
        <v>2084.15</v>
      </c>
      <c r="F116" s="61">
        <f>F$38*365</f>
        <v>2084.15</v>
      </c>
      <c r="G116" s="61">
        <f t="shared" ref="G116:K116" si="27">G$38*365</f>
        <v>2744.7999999999997</v>
      </c>
      <c r="H116" s="61">
        <f t="shared" si="27"/>
        <v>3171.85</v>
      </c>
      <c r="I116" s="61">
        <f t="shared" si="27"/>
        <v>3544.15</v>
      </c>
      <c r="J116" s="61">
        <f t="shared" si="27"/>
        <v>3912.8</v>
      </c>
      <c r="K116" s="61">
        <f t="shared" si="27"/>
        <v>4051.5</v>
      </c>
    </row>
    <row r="117" spans="1:11" x14ac:dyDescent="0.25">
      <c r="A117" s="7" t="s">
        <v>31</v>
      </c>
      <c r="B117" s="81">
        <v>150000</v>
      </c>
      <c r="C117" s="82"/>
      <c r="D117" s="40"/>
      <c r="E117" s="63">
        <v>0</v>
      </c>
      <c r="F117" s="63">
        <v>0</v>
      </c>
      <c r="G117" s="63">
        <v>0</v>
      </c>
      <c r="H117" s="63">
        <v>0</v>
      </c>
      <c r="I117" s="55">
        <v>0</v>
      </c>
      <c r="J117" s="55">
        <v>0</v>
      </c>
      <c r="K117" s="55">
        <v>0</v>
      </c>
    </row>
    <row r="118" spans="1:11" s="10" customFormat="1" ht="18.75" x14ac:dyDescent="0.3">
      <c r="A118" s="80" t="s">
        <v>32</v>
      </c>
      <c r="B118" s="80"/>
      <c r="C118" s="80"/>
      <c r="D118" s="39"/>
      <c r="E118" s="64">
        <f>SUM(E115:E117)</f>
        <v>994094.15</v>
      </c>
      <c r="F118" s="64">
        <f t="shared" ref="F118:K118" si="28">SUM(F115:F117)</f>
        <v>994094.15</v>
      </c>
      <c r="G118" s="64">
        <f t="shared" si="28"/>
        <v>1006716.3</v>
      </c>
      <c r="H118" s="64">
        <f t="shared" si="28"/>
        <v>1089017.8500000001</v>
      </c>
      <c r="I118" s="64">
        <f t="shared" si="28"/>
        <v>1181354.6499999999</v>
      </c>
      <c r="J118" s="64">
        <f t="shared" si="28"/>
        <v>1266232.8</v>
      </c>
      <c r="K118" s="64">
        <f t="shared" si="28"/>
        <v>1340176.5</v>
      </c>
    </row>
    <row r="119" spans="1:11" x14ac:dyDescent="0.25">
      <c r="A119" s="79" t="s">
        <v>36</v>
      </c>
      <c r="B119" s="79"/>
      <c r="C119" s="79"/>
      <c r="D119" s="14"/>
      <c r="E119" s="57"/>
      <c r="F119" s="65">
        <f>F118-E118</f>
        <v>0</v>
      </c>
      <c r="G119" s="65">
        <f t="shared" ref="G119:K119" si="29">G118-F118</f>
        <v>12622.150000000023</v>
      </c>
      <c r="H119" s="65">
        <f t="shared" si="29"/>
        <v>82301.550000000047</v>
      </c>
      <c r="I119" s="65">
        <f t="shared" si="29"/>
        <v>92336.799999999814</v>
      </c>
      <c r="J119" s="65">
        <f t="shared" si="29"/>
        <v>84878.15000000014</v>
      </c>
      <c r="K119" s="65">
        <f t="shared" si="29"/>
        <v>73943.699999999953</v>
      </c>
    </row>
    <row r="120" spans="1:11" x14ac:dyDescent="0.25">
      <c r="A120" s="79" t="s">
        <v>37</v>
      </c>
      <c r="B120" s="79"/>
      <c r="C120" s="79"/>
      <c r="D120" s="14"/>
      <c r="E120" s="57"/>
      <c r="F120" s="66">
        <f>F119/E118</f>
        <v>0</v>
      </c>
      <c r="G120" s="66">
        <f t="shared" ref="G120:K120" si="30">G119/F118</f>
        <v>1.2697137388847951E-2</v>
      </c>
      <c r="H120" s="66">
        <f t="shared" si="30"/>
        <v>8.1752475846472383E-2</v>
      </c>
      <c r="I120" s="66">
        <f t="shared" si="30"/>
        <v>8.4789060160951266E-2</v>
      </c>
      <c r="J120" s="66">
        <f t="shared" si="30"/>
        <v>7.1848153304344423E-2</v>
      </c>
      <c r="K120" s="66">
        <f t="shared" si="30"/>
        <v>5.8396607638026711E-2</v>
      </c>
    </row>
    <row r="121" spans="1:11" x14ac:dyDescent="0.25">
      <c r="A121" s="14"/>
      <c r="B121" s="14"/>
      <c r="C121" s="14"/>
      <c r="D121" s="14"/>
      <c r="E121" s="30"/>
      <c r="F121" s="30"/>
      <c r="G121" s="30"/>
      <c r="H121" s="30"/>
      <c r="I121" s="30"/>
      <c r="J121" s="30"/>
      <c r="K121" s="30"/>
    </row>
    <row r="122" spans="1:11" ht="18.75" x14ac:dyDescent="0.25">
      <c r="A122" s="75" t="s">
        <v>99</v>
      </c>
      <c r="B122" s="75"/>
      <c r="C122" s="75"/>
      <c r="D122" s="5"/>
      <c r="E122" s="76" t="s">
        <v>2</v>
      </c>
      <c r="F122" s="76"/>
      <c r="G122" s="76"/>
      <c r="H122" s="76"/>
      <c r="I122" s="76"/>
      <c r="J122" s="76"/>
      <c r="K122" s="76"/>
    </row>
    <row r="123" spans="1:11" ht="18.75" x14ac:dyDescent="0.25">
      <c r="A123" s="75" t="s">
        <v>4</v>
      </c>
      <c r="B123" s="75"/>
      <c r="C123" s="75"/>
      <c r="D123" s="5"/>
      <c r="E123" s="76" t="s">
        <v>51</v>
      </c>
      <c r="F123" s="76"/>
      <c r="G123" s="76"/>
      <c r="H123" s="76"/>
      <c r="I123" s="76"/>
      <c r="J123" s="76"/>
      <c r="K123" s="76"/>
    </row>
    <row r="124" spans="1:11" ht="18.75" x14ac:dyDescent="0.25">
      <c r="A124" s="75" t="s">
        <v>33</v>
      </c>
      <c r="B124" s="75"/>
      <c r="C124" s="75"/>
      <c r="D124" s="5"/>
      <c r="E124" s="76" t="s">
        <v>28</v>
      </c>
      <c r="F124" s="76"/>
      <c r="G124" s="76"/>
      <c r="H124" s="76"/>
      <c r="I124" s="76"/>
      <c r="J124" s="76"/>
      <c r="K124" s="76"/>
    </row>
    <row r="125" spans="1:11" ht="18.75" x14ac:dyDescent="0.25">
      <c r="A125" s="75" t="s">
        <v>34</v>
      </c>
      <c r="B125" s="75"/>
      <c r="C125" s="75"/>
      <c r="D125" s="5"/>
      <c r="E125" s="13">
        <v>2018</v>
      </c>
      <c r="F125" s="13">
        <v>2019</v>
      </c>
      <c r="G125" s="13">
        <v>2020</v>
      </c>
      <c r="H125" s="13">
        <v>2021</v>
      </c>
      <c r="I125" s="11">
        <v>2022</v>
      </c>
      <c r="J125" s="11">
        <v>2023</v>
      </c>
      <c r="K125" s="11">
        <v>2024</v>
      </c>
    </row>
    <row r="126" spans="1:11" ht="15.75" x14ac:dyDescent="0.25">
      <c r="A126" s="3" t="s">
        <v>26</v>
      </c>
      <c r="B126" s="3" t="s">
        <v>29</v>
      </c>
      <c r="C126" s="12" t="s">
        <v>78</v>
      </c>
      <c r="D126" s="6"/>
      <c r="F126" s="29"/>
      <c r="G126" s="29"/>
      <c r="H126" s="29"/>
      <c r="I126" s="29"/>
      <c r="J126" s="29"/>
      <c r="K126" s="29"/>
    </row>
    <row r="127" spans="1:11" x14ac:dyDescent="0.25">
      <c r="A127" s="83" t="s">
        <v>46</v>
      </c>
      <c r="B127" s="15" t="s">
        <v>47</v>
      </c>
      <c r="C127" s="7" t="s">
        <v>1</v>
      </c>
      <c r="E127" s="61">
        <f>E$7*500000</f>
        <v>910000</v>
      </c>
      <c r="F127" s="61">
        <f t="shared" ref="F127:K127" si="31">F$7*500000</f>
        <v>910000</v>
      </c>
      <c r="G127" s="61">
        <f t="shared" si="31"/>
        <v>930000</v>
      </c>
      <c r="H127" s="61">
        <f t="shared" si="31"/>
        <v>950000</v>
      </c>
      <c r="I127" s="61">
        <f t="shared" si="31"/>
        <v>975000</v>
      </c>
      <c r="J127" s="61">
        <f t="shared" si="31"/>
        <v>1000000</v>
      </c>
      <c r="K127" s="61">
        <f t="shared" si="31"/>
        <v>1020000</v>
      </c>
    </row>
    <row r="128" spans="1:11" x14ac:dyDescent="0.25">
      <c r="A128" s="84"/>
      <c r="B128" s="83" t="s">
        <v>48</v>
      </c>
      <c r="C128" s="7" t="s">
        <v>24</v>
      </c>
      <c r="E128" s="61">
        <f>E$8*400000</f>
        <v>1120000</v>
      </c>
      <c r="F128" s="61">
        <f t="shared" ref="F128:J128" si="32">F$8*400000</f>
        <v>1120000</v>
      </c>
      <c r="G128" s="61">
        <f t="shared" si="32"/>
        <v>1124000</v>
      </c>
      <c r="H128" s="61">
        <f t="shared" si="32"/>
        <v>1144000</v>
      </c>
      <c r="I128" s="61">
        <f t="shared" si="32"/>
        <v>1164000</v>
      </c>
      <c r="J128" s="61">
        <f t="shared" si="32"/>
        <v>1184000</v>
      </c>
      <c r="K128" s="61">
        <f>K$8*400000</f>
        <v>1284000</v>
      </c>
    </row>
    <row r="129" spans="1:11" x14ac:dyDescent="0.25">
      <c r="A129" s="84"/>
      <c r="B129" s="84"/>
      <c r="C129" s="7" t="s">
        <v>49</v>
      </c>
      <c r="E129" s="61">
        <f>-(E128-100000)*0.3</f>
        <v>-306000</v>
      </c>
      <c r="F129" s="61">
        <f>-(F128-100000)*0.3</f>
        <v>-306000</v>
      </c>
      <c r="G129" s="61">
        <f>-(G128-100000)*0.3</f>
        <v>-307200</v>
      </c>
      <c r="H129" s="61">
        <f>-(H128-100000)*0.2</f>
        <v>-208800</v>
      </c>
      <c r="I129" s="61">
        <f>-(I128-150000)*0.1</f>
        <v>-101400</v>
      </c>
      <c r="J129" s="61">
        <f>-(J128-150000)*0</f>
        <v>0</v>
      </c>
      <c r="K129" s="61">
        <f>-(K128-150000)*0</f>
        <v>0</v>
      </c>
    </row>
    <row r="130" spans="1:11" x14ac:dyDescent="0.25">
      <c r="A130" s="85"/>
      <c r="B130" s="85"/>
      <c r="C130" s="7" t="s">
        <v>50</v>
      </c>
      <c r="E130" s="61">
        <f>SUM(E128:E129)</f>
        <v>814000</v>
      </c>
      <c r="F130" s="61">
        <f t="shared" ref="F130:K130" si="33">SUM(F128:F129)</f>
        <v>814000</v>
      </c>
      <c r="G130" s="61">
        <f t="shared" si="33"/>
        <v>816800</v>
      </c>
      <c r="H130" s="61">
        <f t="shared" si="33"/>
        <v>935200</v>
      </c>
      <c r="I130" s="61">
        <f t="shared" si="33"/>
        <v>1062600</v>
      </c>
      <c r="J130" s="61">
        <f t="shared" si="33"/>
        <v>1184000</v>
      </c>
      <c r="K130" s="61">
        <f t="shared" si="33"/>
        <v>1284000</v>
      </c>
    </row>
    <row r="131" spans="1:11" s="18" customFormat="1" ht="17.25" x14ac:dyDescent="0.25">
      <c r="A131" s="86" t="s">
        <v>80</v>
      </c>
      <c r="B131" s="86"/>
      <c r="C131" s="86"/>
      <c r="D131" s="41"/>
      <c r="E131" s="62">
        <f>SUM(E127,E130)</f>
        <v>1724000</v>
      </c>
      <c r="F131" s="62">
        <f t="shared" ref="F131:K131" si="34">SUM(F127,F130)</f>
        <v>1724000</v>
      </c>
      <c r="G131" s="62">
        <f t="shared" si="34"/>
        <v>1746800</v>
      </c>
      <c r="H131" s="62">
        <f t="shared" si="34"/>
        <v>1885200</v>
      </c>
      <c r="I131" s="62">
        <f t="shared" si="34"/>
        <v>2037600</v>
      </c>
      <c r="J131" s="62">
        <f t="shared" si="34"/>
        <v>2184000</v>
      </c>
      <c r="K131" s="62">
        <f t="shared" si="34"/>
        <v>2304000</v>
      </c>
    </row>
    <row r="132" spans="1:11" s="18" customFormat="1" ht="15.75" x14ac:dyDescent="0.25">
      <c r="A132" s="22" t="s">
        <v>75</v>
      </c>
      <c r="B132" s="22" t="s">
        <v>76</v>
      </c>
      <c r="C132" s="22" t="s">
        <v>77</v>
      </c>
      <c r="D132" s="41"/>
      <c r="E132" s="67"/>
      <c r="F132" s="68"/>
      <c r="G132" s="68"/>
      <c r="H132" s="68"/>
      <c r="I132" s="68"/>
      <c r="J132" s="68"/>
      <c r="K132" s="68"/>
    </row>
    <row r="133" spans="1:11" x14ac:dyDescent="0.25">
      <c r="A133" s="23" t="s">
        <v>68</v>
      </c>
      <c r="B133" s="24" t="s">
        <v>72</v>
      </c>
      <c r="C133" s="25" t="s">
        <v>52</v>
      </c>
      <c r="D133" s="43"/>
      <c r="E133" s="69">
        <f>E18*2589</f>
        <v>3235.9999999999927</v>
      </c>
      <c r="F133" s="69">
        <f t="shared" ref="F133:K133" si="35">F18*2589</f>
        <v>3235.9999999999927</v>
      </c>
      <c r="G133" s="69">
        <f t="shared" si="35"/>
        <v>3235.9999999999927</v>
      </c>
      <c r="H133" s="69">
        <f t="shared" si="35"/>
        <v>3366.0000000000091</v>
      </c>
      <c r="I133" s="69">
        <f t="shared" si="35"/>
        <v>3494.9999999999955</v>
      </c>
      <c r="J133" s="69">
        <f t="shared" si="35"/>
        <v>3495.0000000000005</v>
      </c>
      <c r="K133" s="69">
        <f t="shared" si="35"/>
        <v>3625.0000000000005</v>
      </c>
    </row>
    <row r="134" spans="1:11" x14ac:dyDescent="0.25">
      <c r="A134" s="7" t="s">
        <v>69</v>
      </c>
      <c r="B134" s="17" t="s">
        <v>73</v>
      </c>
      <c r="C134" s="16" t="s">
        <v>53</v>
      </c>
      <c r="D134" s="43"/>
      <c r="E134" s="69">
        <f>E19*2031</f>
        <v>2437</v>
      </c>
      <c r="F134" s="69">
        <f t="shared" ref="F134:K134" si="36">F19*2031</f>
        <v>2436.9999999999927</v>
      </c>
      <c r="G134" s="69">
        <f t="shared" si="36"/>
        <v>2436.9999999999927</v>
      </c>
      <c r="H134" s="69">
        <f>H19*2031</f>
        <v>2538.9999999999991</v>
      </c>
      <c r="I134" s="69">
        <f t="shared" si="36"/>
        <v>2640</v>
      </c>
      <c r="J134" s="69">
        <f>J19*2031</f>
        <v>2640</v>
      </c>
      <c r="K134" s="69">
        <f t="shared" si="36"/>
        <v>2742</v>
      </c>
    </row>
    <row r="135" spans="1:11" x14ac:dyDescent="0.25">
      <c r="A135" s="7" t="s">
        <v>70</v>
      </c>
      <c r="B135" s="17" t="s">
        <v>72</v>
      </c>
      <c r="C135" s="16" t="s">
        <v>54</v>
      </c>
      <c r="D135" s="43"/>
      <c r="E135" s="69">
        <f>E20*2589</f>
        <v>11911.000000000002</v>
      </c>
      <c r="F135" s="69">
        <f t="shared" ref="F135:K135" si="37">F20*2589</f>
        <v>12947</v>
      </c>
      <c r="G135" s="69">
        <f t="shared" si="37"/>
        <v>12947</v>
      </c>
      <c r="H135" s="69">
        <f t="shared" si="37"/>
        <v>13464.999999999991</v>
      </c>
      <c r="I135" s="69">
        <f t="shared" si="37"/>
        <v>13983</v>
      </c>
      <c r="J135" s="69">
        <f t="shared" si="37"/>
        <v>14242</v>
      </c>
      <c r="K135" s="69">
        <f t="shared" si="37"/>
        <v>14501</v>
      </c>
    </row>
    <row r="136" spans="1:11" x14ac:dyDescent="0.25">
      <c r="A136" s="7" t="s">
        <v>71</v>
      </c>
      <c r="B136" s="17" t="s">
        <v>74</v>
      </c>
      <c r="C136" s="16" t="s">
        <v>55</v>
      </c>
      <c r="D136" s="43"/>
      <c r="E136" s="69">
        <f>E21*4164</f>
        <v>62460</v>
      </c>
      <c r="F136" s="69">
        <f t="shared" ref="F136:K136" si="38">F21*4164</f>
        <v>74952</v>
      </c>
      <c r="G136" s="69">
        <f t="shared" si="38"/>
        <v>83280</v>
      </c>
      <c r="H136" s="69">
        <f t="shared" si="38"/>
        <v>87444</v>
      </c>
      <c r="I136" s="69">
        <f t="shared" si="38"/>
        <v>91608</v>
      </c>
      <c r="J136" s="69">
        <f t="shared" si="38"/>
        <v>91608</v>
      </c>
      <c r="K136" s="69">
        <f t="shared" si="38"/>
        <v>95772</v>
      </c>
    </row>
    <row r="137" spans="1:11" s="19" customFormat="1" ht="17.25" x14ac:dyDescent="0.3">
      <c r="A137" s="73" t="s">
        <v>81</v>
      </c>
      <c r="B137" s="73"/>
      <c r="C137" s="73"/>
      <c r="D137" s="43"/>
      <c r="E137" s="70">
        <f>SUM(E131,E133:E136)</f>
        <v>1804044</v>
      </c>
      <c r="F137" s="70">
        <f>SUM(F131,F133:F136)</f>
        <v>1817572</v>
      </c>
      <c r="G137" s="70">
        <f t="shared" ref="G137:K137" si="39">SUM(G131,G133:G136)</f>
        <v>1848700</v>
      </c>
      <c r="H137" s="70">
        <f t="shared" si="39"/>
        <v>1992014</v>
      </c>
      <c r="I137" s="70">
        <f t="shared" si="39"/>
        <v>2149326</v>
      </c>
      <c r="J137" s="70">
        <f t="shared" si="39"/>
        <v>2295985</v>
      </c>
      <c r="K137" s="70">
        <f t="shared" si="39"/>
        <v>2420640</v>
      </c>
    </row>
    <row r="138" spans="1:11" x14ac:dyDescent="0.25">
      <c r="A138" s="79" t="s">
        <v>30</v>
      </c>
      <c r="B138" s="79"/>
      <c r="C138" s="79"/>
      <c r="D138" s="14"/>
      <c r="E138" s="69">
        <f>E$39*365</f>
        <v>2624.3500000000004</v>
      </c>
      <c r="F138" s="69">
        <f>F$39*365</f>
        <v>2624.3500000000004</v>
      </c>
      <c r="G138" s="69">
        <f t="shared" ref="G138:K138" si="40">G$39*365</f>
        <v>3463.85</v>
      </c>
      <c r="H138" s="69">
        <f t="shared" si="40"/>
        <v>4011.35</v>
      </c>
      <c r="I138" s="69">
        <f>I$39*365</f>
        <v>4482.2</v>
      </c>
      <c r="J138" s="69">
        <f t="shared" si="40"/>
        <v>4956.7</v>
      </c>
      <c r="K138" s="69">
        <f t="shared" si="40"/>
        <v>5131.9000000000005</v>
      </c>
    </row>
    <row r="139" spans="1:11" x14ac:dyDescent="0.25">
      <c r="A139" s="7" t="s">
        <v>31</v>
      </c>
      <c r="B139" s="81">
        <v>150000</v>
      </c>
      <c r="C139" s="82"/>
      <c r="D139" s="40"/>
      <c r="E139" s="71">
        <v>0</v>
      </c>
      <c r="F139" s="63">
        <v>0</v>
      </c>
      <c r="G139" s="63">
        <v>0</v>
      </c>
      <c r="H139" s="63">
        <v>0</v>
      </c>
      <c r="I139" s="55">
        <v>0</v>
      </c>
      <c r="J139" s="55">
        <v>0</v>
      </c>
      <c r="K139" s="55">
        <v>0</v>
      </c>
    </row>
    <row r="140" spans="1:11" s="10" customFormat="1" ht="18.75" x14ac:dyDescent="0.3">
      <c r="A140" s="80" t="s">
        <v>32</v>
      </c>
      <c r="B140" s="80"/>
      <c r="C140" s="80"/>
      <c r="D140" s="39"/>
      <c r="E140" s="72">
        <f>SUM(E137:E139)</f>
        <v>1806668.35</v>
      </c>
      <c r="F140" s="72">
        <f>SUM(F137:F139)</f>
        <v>1820196.35</v>
      </c>
      <c r="G140" s="72">
        <f t="shared" ref="G140:K140" si="41">SUM(G137:G139)</f>
        <v>1852163.85</v>
      </c>
      <c r="H140" s="72">
        <f t="shared" si="41"/>
        <v>1996025.35</v>
      </c>
      <c r="I140" s="72">
        <f t="shared" si="41"/>
        <v>2153808.2000000002</v>
      </c>
      <c r="J140" s="72">
        <f t="shared" si="41"/>
        <v>2300941.7000000002</v>
      </c>
      <c r="K140" s="72">
        <f t="shared" si="41"/>
        <v>2425771.9</v>
      </c>
    </row>
    <row r="141" spans="1:11" x14ac:dyDescent="0.25">
      <c r="A141" s="79" t="s">
        <v>36</v>
      </c>
      <c r="B141" s="79"/>
      <c r="C141" s="79"/>
      <c r="D141" s="14"/>
      <c r="E141" s="57"/>
      <c r="F141" s="60">
        <f>F140-E140</f>
        <v>13528</v>
      </c>
      <c r="G141" s="60">
        <f t="shared" ref="G141:K141" si="42">G140-F140</f>
        <v>31967.5</v>
      </c>
      <c r="H141" s="60">
        <f t="shared" si="42"/>
        <v>143861.5</v>
      </c>
      <c r="I141" s="60">
        <f t="shared" si="42"/>
        <v>157782.85000000009</v>
      </c>
      <c r="J141" s="60">
        <f t="shared" si="42"/>
        <v>147133.5</v>
      </c>
      <c r="K141" s="60">
        <f t="shared" si="42"/>
        <v>124830.19999999972</v>
      </c>
    </row>
    <row r="142" spans="1:11" x14ac:dyDescent="0.25">
      <c r="A142" s="79" t="s">
        <v>37</v>
      </c>
      <c r="B142" s="79"/>
      <c r="C142" s="79"/>
      <c r="D142" s="14"/>
      <c r="E142" s="57"/>
      <c r="F142" s="66">
        <f>F141/E140</f>
        <v>7.4878159015737446E-3</v>
      </c>
      <c r="G142" s="66">
        <f t="shared" ref="G142:K142" si="43">G141/F140</f>
        <v>1.7562665698126468E-2</v>
      </c>
      <c r="H142" s="66">
        <f t="shared" si="43"/>
        <v>7.7672123878241114E-2</v>
      </c>
      <c r="I142" s="66">
        <f t="shared" si="43"/>
        <v>7.9048520100208186E-2</v>
      </c>
      <c r="J142" s="66">
        <f t="shared" si="43"/>
        <v>6.8313185918783298E-2</v>
      </c>
      <c r="K142" s="66">
        <f t="shared" si="43"/>
        <v>5.4251787431206844E-2</v>
      </c>
    </row>
    <row r="143" spans="1:11" x14ac:dyDescent="0.25">
      <c r="A143" s="87" t="s">
        <v>117</v>
      </c>
      <c r="B143" s="14"/>
      <c r="C143" s="14"/>
      <c r="D143" s="14"/>
      <c r="E143" s="30"/>
      <c r="F143" s="30"/>
      <c r="G143" s="30"/>
      <c r="H143" s="30"/>
      <c r="I143" s="30"/>
      <c r="J143" s="30"/>
      <c r="K143" s="30"/>
    </row>
    <row r="144" spans="1:11" x14ac:dyDescent="0.25">
      <c r="A144" s="87" t="s">
        <v>118</v>
      </c>
      <c r="B144" s="14"/>
      <c r="C144" s="14"/>
      <c r="D144" s="14"/>
      <c r="E144" s="30"/>
      <c r="F144" s="30"/>
      <c r="G144" s="30"/>
      <c r="H144" s="30"/>
      <c r="I144" s="30"/>
      <c r="J144" s="30"/>
      <c r="K144" s="30"/>
    </row>
    <row r="145" spans="1:16" x14ac:dyDescent="0.25">
      <c r="A145" s="87" t="s">
        <v>119</v>
      </c>
      <c r="B145" s="14"/>
      <c r="C145" s="14"/>
      <c r="D145" s="14"/>
      <c r="E145" s="30"/>
      <c r="F145" s="30"/>
      <c r="G145" s="30"/>
      <c r="H145" s="30"/>
      <c r="I145" s="30"/>
      <c r="J145" s="30"/>
      <c r="K145" s="30"/>
    </row>
    <row r="146" spans="1:16" x14ac:dyDescent="0.25">
      <c r="A146" s="87" t="s">
        <v>120</v>
      </c>
      <c r="B146" s="14"/>
      <c r="C146" s="14"/>
      <c r="D146" s="14"/>
      <c r="E146" s="30"/>
      <c r="F146" s="30"/>
      <c r="G146" s="30"/>
      <c r="H146" s="30"/>
      <c r="I146" s="30"/>
      <c r="J146" s="30"/>
      <c r="K146" s="30"/>
    </row>
    <row r="147" spans="1:16" x14ac:dyDescent="0.25">
      <c r="A147" s="87" t="s">
        <v>121</v>
      </c>
      <c r="B147" s="14"/>
      <c r="C147" s="14"/>
      <c r="D147" s="14"/>
      <c r="E147" s="30"/>
      <c r="F147" s="30"/>
      <c r="G147" s="30"/>
      <c r="H147" s="30"/>
      <c r="I147" s="30"/>
      <c r="J147" s="30"/>
      <c r="K147" s="30"/>
    </row>
    <row r="148" spans="1:16" x14ac:dyDescent="0.25">
      <c r="A148" s="88" t="s">
        <v>56</v>
      </c>
    </row>
    <row r="149" spans="1:16" ht="18.75" x14ac:dyDescent="0.25">
      <c r="A149" s="76"/>
      <c r="B149" s="76"/>
      <c r="C149" s="76"/>
      <c r="E149" s="76"/>
      <c r="F149" s="76"/>
      <c r="G149" s="76"/>
      <c r="H149" s="76"/>
      <c r="I149" s="76"/>
      <c r="J149" s="76"/>
      <c r="K149" s="76"/>
    </row>
    <row r="150" spans="1:16" ht="15.75" x14ac:dyDescent="0.25">
      <c r="A150" t="s">
        <v>100</v>
      </c>
      <c r="E150" s="32" t="s">
        <v>101</v>
      </c>
      <c r="F150" s="33"/>
      <c r="G150" s="33"/>
    </row>
    <row r="151" spans="1:16" x14ac:dyDescent="0.25">
      <c r="E151" s="34" t="s">
        <v>102</v>
      </c>
      <c r="F151" s="33"/>
      <c r="G151" s="33"/>
    </row>
    <row r="152" spans="1:16" x14ac:dyDescent="0.25">
      <c r="E152" s="34" t="s">
        <v>103</v>
      </c>
      <c r="F152" s="33"/>
      <c r="G152" s="33"/>
    </row>
    <row r="153" spans="1:16" x14ac:dyDescent="0.25">
      <c r="E153" s="35" t="s">
        <v>104</v>
      </c>
      <c r="F153" s="33"/>
      <c r="G153" s="33"/>
    </row>
    <row r="154" spans="1:16" x14ac:dyDescent="0.25">
      <c r="E154" s="36" t="s">
        <v>105</v>
      </c>
      <c r="F154" s="33"/>
      <c r="G154" s="33"/>
    </row>
    <row r="155" spans="1:16" x14ac:dyDescent="0.25">
      <c r="E155" s="37" t="s">
        <v>106</v>
      </c>
      <c r="F155" s="33"/>
      <c r="G155" s="33"/>
    </row>
    <row r="156" spans="1:16" x14ac:dyDescent="0.25">
      <c r="A156" s="31" t="s">
        <v>124</v>
      </c>
    </row>
    <row r="159" spans="1:16" ht="18.75" x14ac:dyDescent="0.3">
      <c r="A159" s="10" t="s">
        <v>123</v>
      </c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3"/>
    </row>
    <row r="160" spans="1:16" x14ac:dyDescent="0.25">
      <c r="A160" s="89" t="s">
        <v>122</v>
      </c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3"/>
    </row>
    <row r="161" spans="1:16" x14ac:dyDescent="0.25">
      <c r="A161" s="88" t="s">
        <v>56</v>
      </c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3"/>
    </row>
    <row r="162" spans="1:16" x14ac:dyDescent="0.25"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3"/>
    </row>
    <row r="163" spans="1:16" x14ac:dyDescent="0.25"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43"/>
    </row>
    <row r="164" spans="1:16" x14ac:dyDescent="0.25">
      <c r="A164" s="37"/>
    </row>
    <row r="166" spans="1:16" x14ac:dyDescent="0.25">
      <c r="A166" s="37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</row>
    <row r="167" spans="1:16" x14ac:dyDescent="0.25"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</row>
    <row r="168" spans="1:16" x14ac:dyDescent="0.25"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</row>
    <row r="169" spans="1:16" x14ac:dyDescent="0.25"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</row>
    <row r="170" spans="1:16" x14ac:dyDescent="0.25"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</row>
    <row r="174" spans="1:16" x14ac:dyDescent="0.25">
      <c r="F174" s="42"/>
      <c r="G174" s="42"/>
      <c r="H174" s="42"/>
      <c r="I174" s="42"/>
      <c r="J174" s="42"/>
      <c r="K174" s="42"/>
      <c r="L174" s="42"/>
      <c r="M174" s="42"/>
      <c r="N174" s="42"/>
      <c r="O174" s="42"/>
    </row>
    <row r="175" spans="1:16" x14ac:dyDescent="0.25">
      <c r="F175" s="42"/>
      <c r="G175" s="42"/>
      <c r="H175" s="42"/>
      <c r="I175" s="42"/>
      <c r="J175" s="42"/>
      <c r="K175" s="42"/>
      <c r="L175" s="42"/>
      <c r="M175" s="42"/>
      <c r="N175" s="42"/>
      <c r="O175" s="42"/>
    </row>
  </sheetData>
  <mergeCells count="100">
    <mergeCell ref="A149:C149"/>
    <mergeCell ref="E149:K149"/>
    <mergeCell ref="E1:K1"/>
    <mergeCell ref="E2:K2"/>
    <mergeCell ref="E3:K3"/>
    <mergeCell ref="E4:K4"/>
    <mergeCell ref="E12:K12"/>
    <mergeCell ref="E44:K44"/>
    <mergeCell ref="E45:K45"/>
    <mergeCell ref="E46:K46"/>
    <mergeCell ref="E47:K47"/>
    <mergeCell ref="E61:K61"/>
    <mergeCell ref="E13:K13"/>
    <mergeCell ref="E14:K14"/>
    <mergeCell ref="E15:K15"/>
    <mergeCell ref="E23:K23"/>
    <mergeCell ref="E24:K24"/>
    <mergeCell ref="E25:K25"/>
    <mergeCell ref="E26:K26"/>
    <mergeCell ref="E27:K27"/>
    <mergeCell ref="E41:K41"/>
    <mergeCell ref="E43:K43"/>
    <mergeCell ref="A137:C137"/>
    <mergeCell ref="A138:C138"/>
    <mergeCell ref="B139:C139"/>
    <mergeCell ref="A140:C140"/>
    <mergeCell ref="A141:C141"/>
    <mergeCell ref="A142:C142"/>
    <mergeCell ref="A124:C124"/>
    <mergeCell ref="A125:C125"/>
    <mergeCell ref="A127:A130"/>
    <mergeCell ref="B128:B130"/>
    <mergeCell ref="A131:C131"/>
    <mergeCell ref="E124:K124"/>
    <mergeCell ref="A119:C119"/>
    <mergeCell ref="A120:C120"/>
    <mergeCell ref="A122:C122"/>
    <mergeCell ref="A123:C123"/>
    <mergeCell ref="E122:K122"/>
    <mergeCell ref="E123:K123"/>
    <mergeCell ref="A108:C108"/>
    <mergeCell ref="A109:C109"/>
    <mergeCell ref="E106:K106"/>
    <mergeCell ref="E107:K107"/>
    <mergeCell ref="E108:K108"/>
    <mergeCell ref="A104:C104"/>
    <mergeCell ref="A118:C118"/>
    <mergeCell ref="A106:C106"/>
    <mergeCell ref="A107:C107"/>
    <mergeCell ref="A111:A114"/>
    <mergeCell ref="B111:B114"/>
    <mergeCell ref="A115:C115"/>
    <mergeCell ref="A116:C116"/>
    <mergeCell ref="B117:C117"/>
    <mergeCell ref="A100:C100"/>
    <mergeCell ref="A99:C99"/>
    <mergeCell ref="B101:C101"/>
    <mergeCell ref="A102:C102"/>
    <mergeCell ref="A103:C103"/>
    <mergeCell ref="A94:C94"/>
    <mergeCell ref="A95:C95"/>
    <mergeCell ref="A97:A98"/>
    <mergeCell ref="B97:B98"/>
    <mergeCell ref="E94:K94"/>
    <mergeCell ref="A83:A84"/>
    <mergeCell ref="B83:B84"/>
    <mergeCell ref="A85:C85"/>
    <mergeCell ref="A86:C86"/>
    <mergeCell ref="B87:C87"/>
    <mergeCell ref="A88:C88"/>
    <mergeCell ref="A89:C89"/>
    <mergeCell ref="A90:C90"/>
    <mergeCell ref="A92:C92"/>
    <mergeCell ref="A93:C93"/>
    <mergeCell ref="E92:K92"/>
    <mergeCell ref="E93:K93"/>
    <mergeCell ref="A81:C81"/>
    <mergeCell ref="A72:C72"/>
    <mergeCell ref="A73:C73"/>
    <mergeCell ref="A74:C74"/>
    <mergeCell ref="A75:C75"/>
    <mergeCell ref="A76:C76"/>
    <mergeCell ref="A78:C78"/>
    <mergeCell ref="A79:C79"/>
    <mergeCell ref="A80:C80"/>
    <mergeCell ref="E78:K78"/>
    <mergeCell ref="E79:K79"/>
    <mergeCell ref="E80:K80"/>
    <mergeCell ref="A71:C71"/>
    <mergeCell ref="A63:C63"/>
    <mergeCell ref="A64:C64"/>
    <mergeCell ref="A65:C65"/>
    <mergeCell ref="A66:C66"/>
    <mergeCell ref="A67:C67"/>
    <mergeCell ref="A69:A70"/>
    <mergeCell ref="B69:B70"/>
    <mergeCell ref="E63:K63"/>
    <mergeCell ref="E64:K64"/>
    <mergeCell ref="E65:K65"/>
    <mergeCell ref="E66:K66"/>
  </mergeCells>
  <phoneticPr fontId="12" type="noConversion"/>
  <hyperlinks>
    <hyperlink ref="E155" r:id="rId1" xr:uid="{D25A877F-7046-486C-8B7F-5E31629487F1}"/>
    <hyperlink ref="E154" r:id="rId2" xr:uid="{8EBAFE28-5690-464E-A8E6-D7779C57A89A}"/>
    <hyperlink ref="A160" r:id="rId3" display="https://myutility.winnipeg.ca/UtilityPortal/UtilityBilling/rates" xr:uid="{753279FD-13FD-4FA4-88EE-776E54F902DE}"/>
  </hyperlinks>
  <pageMargins left="0.7" right="0.7" top="0.75" bottom="0.75" header="0.3" footer="0.3"/>
  <pageSetup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WATER &amp; WASTE WATER 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Miles</dc:creator>
  <cp:lastModifiedBy>Gregory Miles</cp:lastModifiedBy>
  <dcterms:created xsi:type="dcterms:W3CDTF">2019-05-28T18:47:41Z</dcterms:created>
  <dcterms:modified xsi:type="dcterms:W3CDTF">2024-08-14T18:03:19Z</dcterms:modified>
</cp:coreProperties>
</file>